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<sst xmlns="http://schemas.openxmlformats.org/spreadsheetml/2006/main" count="322" uniqueCount="266">
  <si>
    <t>ลำดับ</t>
  </si>
  <si>
    <t>จุดติดตั้งกล้อง</t>
  </si>
  <si>
    <t>ที่อยู่</t>
  </si>
  <si>
    <t>ละติจูด old</t>
  </si>
  <si>
    <t>ลองจิจูด old</t>
  </si>
  <si>
    <t>ละติจูด</t>
  </si>
  <si>
    <t>ลองจิจูด</t>
  </si>
  <si>
    <t>วันที่ติดตั้งกล้อง</t>
  </si>
  <si>
    <t>จำนวนกล้อง</t>
  </si>
  <si>
    <t xml:space="preserve">อื่น ๆ </t>
  </si>
  <si>
    <t>ชุมชนมาบข่า – สำนักอ้ายงอน เกาะกลางถนน 3191 ปากทางเข้าซอยศูนย์บริการสาธารณสุขมาบข่า</t>
  </si>
  <si>
    <t>ชุมชนมาบข่า-อ้ายงอน</t>
  </si>
  <si>
    <t>12°46.859"N</t>
  </si>
  <si>
    <t>101° 10.560"E</t>
  </si>
  <si>
    <t>สี่แยกมาบข่า ตรงเกาะกลางถนน เยื้องศาลา</t>
  </si>
  <si>
    <t>12°46.448"N</t>
  </si>
  <si>
    <t>101° 10.331"E</t>
  </si>
  <si>
    <t>หน้านิคมอุตสาหกรรม RIL เกาะกลางถนนสาย 3191 หันหน้าไปทาง  สี่แยกมาบข่า</t>
  </si>
  <si>
    <t>12°45.665"N</t>
  </si>
  <si>
    <t>101° 9.71"E</t>
  </si>
  <si>
    <t>หน้านิคมอุตสาหกรรม RIL เกาะกลางถนนสาย 3191 หันหน้าไปทาง  โรงแยกก๊าซ ปตท.</t>
  </si>
  <si>
    <t>ชุมชนบ้านบน</t>
  </si>
  <si>
    <t>12°45.580"N</t>
  </si>
  <si>
    <t>101°9.852"E</t>
  </si>
  <si>
    <t>เกาะกลางถนน 3191 เยื้องทางเข้าซอยชุมชนบ้านบน</t>
  </si>
  <si>
    <t>12°44.897"N</t>
  </si>
  <si>
    <t>101°9.415"E</t>
  </si>
  <si>
    <t>ชุมชนบ้านบน สามแยกที่ทำการชุมชนบ้านบน</t>
  </si>
  <si>
    <t>ชุมชนวัดมาบตาพุด</t>
  </si>
  <si>
    <t>12°43.817"N</t>
  </si>
  <si>
    <t>101° 10.168"E</t>
  </si>
  <si>
    <t>สวนสาธารณะเฉลิมพระเกียรติ 80 พรรษา (ชุมชนหัวน้ำตกพัฒนา)</t>
  </si>
  <si>
    <t>ชุมชนหัวน้ำตกพัฒนา</t>
  </si>
  <si>
    <t>12°43.294"N</t>
  </si>
  <si>
    <t>101° 10.989"E</t>
  </si>
  <si>
    <t>ชุมชนมาบยา สี่แยกไฟแดงมาบยา</t>
  </si>
  <si>
    <t>12°43.404"N</t>
  </si>
  <si>
    <t>101° 10.195"E</t>
  </si>
  <si>
    <t>สี่แยกถนน 3191 ตรงหัวมุมบริษัท  ยูเซ็น</t>
  </si>
  <si>
    <t>ชุมชนบ้านพลง</t>
  </si>
  <si>
    <t>12°44.327"N</t>
  </si>
  <si>
    <t>101°9.094"E</t>
  </si>
  <si>
    <t>สี่แยกถนน 3191 ฝั่งตรงข้ามบริษัท ยูเซ็น</t>
  </si>
  <si>
    <t>ชุมชนวัดห้วยโป่ง</t>
  </si>
  <si>
    <t>12°44.360"N</t>
  </si>
  <si>
    <t>101°9.079"E</t>
  </si>
  <si>
    <t>ตรงเกาะกลางถนนหน้าโรงเรียนบ้านมาบตาพุด</t>
  </si>
  <si>
    <t>ชุมชนวัดโสภณ</t>
  </si>
  <si>
    <t>12°42.880"N</t>
  </si>
  <si>
    <t>101°9.969"E</t>
  </si>
  <si>
    <t>หน้าทางเข้าศูนย์ราชการ</t>
  </si>
  <si>
    <t>ชุมชนซอยประปา</t>
  </si>
  <si>
    <t>12°42.321"N</t>
  </si>
  <si>
    <t xml:space="preserve"> 101°10.899"E</t>
  </si>
  <si>
    <t>สี่แยกเนินสำลี ติดตรงเกาะกลางถนนฝั่งทางเข้านิคมฯ</t>
  </si>
  <si>
    <t>12°42.174"N</t>
  </si>
  <si>
    <t xml:space="preserve"> 101°11.083"E</t>
  </si>
  <si>
    <t>สามแยกโรงแยกก๊าซ ปตท. ตรงเกาะกลางถนน 3191</t>
  </si>
  <si>
    <t>12°43.645"N</t>
  </si>
  <si>
    <t>101°8.746"E</t>
  </si>
  <si>
    <t>ชุมชนชากกลาง บริเวณสี่แยกตลาดนัดวิสาหกิจชุมชน</t>
  </si>
  <si>
    <t>ชุมชนมาบชลูด</t>
  </si>
  <si>
    <t>12°43.343"N</t>
  </si>
  <si>
    <t>101°7.252"E</t>
  </si>
  <si>
    <t>ชุมชนชากลูกหญ้า แยกไฟแดงตลาดสี่ภาค</t>
  </si>
  <si>
    <t>ชุมชนวัดชากลูกหญ้า</t>
  </si>
  <si>
    <t>12°44.422"N</t>
  </si>
  <si>
    <t>101°7.353"E</t>
  </si>
  <si>
    <t>สามแยกห้วยโป่ง ตรงข้ามซอยสุขุมวิท 19</t>
  </si>
  <si>
    <t>ชุมชนตลาดห้วยโป่ง</t>
  </si>
  <si>
    <t>12°44.046"N</t>
  </si>
  <si>
    <t>101°7.962"E</t>
  </si>
  <si>
    <t>ชุมชนตลาดมาบตาพุด ซอยมาบตาพุด 5 หน้าบ้านเลขที่ 11</t>
  </si>
  <si>
    <t>ชุมชนตลาดมาบตาพุด</t>
  </si>
  <si>
    <t>12°42.928"N</t>
  </si>
  <si>
    <t xml:space="preserve"> 101°10.121"E</t>
  </si>
  <si>
    <t>ชุมชนโสภณ สามแยกโรงกลั่น</t>
  </si>
  <si>
    <t>ชุมชนซอยร่วมพัฒนา</t>
  </si>
  <si>
    <t>12°42.167"N</t>
  </si>
  <si>
    <t>101°9.877"E</t>
  </si>
  <si>
    <t>สี่แยกไฟแดงมาบตาพุด ตรงเกาะกลางถนน หน้าคลินิกทันตกรรมรักษ์ยิ้ม</t>
  </si>
  <si>
    <t>12°42.784"N</t>
  </si>
  <si>
    <t xml:space="preserve"> 101°10.136"E</t>
  </si>
  <si>
    <t>หน้าโรงเรียนวัดโขดหิน เกาะกลางตรงสะพานลอยหน้าโรงเรียน</t>
  </si>
  <si>
    <t>ชุมชนคลองน้ำหู</t>
  </si>
  <si>
    <t>12°41.763"N</t>
  </si>
  <si>
    <t xml:space="preserve"> 101°11.853"E</t>
  </si>
  <si>
    <t>สามแยกไฟแดง ขนส่งใหม่</t>
  </si>
  <si>
    <t>ชุมชนโขดหิน 2</t>
  </si>
  <si>
    <t>12°41.457"N</t>
  </si>
  <si>
    <t xml:space="preserve"> 101°12.387"E</t>
  </si>
  <si>
    <t>สี่แยกไฟแดงตากวน – อ่าวประดู่</t>
  </si>
  <si>
    <t>ชุมชนตากวน-อ่าวประดู่</t>
  </si>
  <si>
    <t>12°41.527"N</t>
  </si>
  <si>
    <t>101°9.902"E</t>
  </si>
  <si>
    <t>ชุมชนตากวน – อ่าวประดู่ สี่แยกไฟแดง ถนนทางไปหาดสุชาดา -บ.พีทีที โกลบอล เคมิคอล จำกัด</t>
  </si>
  <si>
    <t>12°40.670"N</t>
  </si>
  <si>
    <t xml:space="preserve"> 101°10.180"E</t>
  </si>
  <si>
    <t>ชุมชนตากวน – อ่าวประดู่
 หน้าบริษัท พีทีที โกลบอล เคมิคอล จำกัด</t>
  </si>
  <si>
    <t>12°40.852"N</t>
  </si>
  <si>
    <t>101°9.633"E</t>
  </si>
  <si>
    <t>ปากทางเข้าเทศบาลเมืองมาบตาพุด สุขุมวิท 20</t>
  </si>
  <si>
    <t>12°44.121"N</t>
  </si>
  <si>
    <t>101°7.828"E</t>
  </si>
  <si>
    <t>ถนนเส้นโรงพยาบาลมาบตาพุดใน  จุดติดตั้งใกล้โรงพยาบาลมาบตาพุด</t>
  </si>
  <si>
    <t>12°43.104"N</t>
  </si>
  <si>
    <t>101°7.630"E</t>
  </si>
  <si>
    <t>ชุมชนบ้านพลง ปากทางเข้าซอยแม่เจือ</t>
  </si>
  <si>
    <t>12°43.896"N</t>
  </si>
  <si>
    <t>101°8.901"E</t>
  </si>
  <si>
    <t>ใต้สะพานต่างระดับ สามแยกโรงแยกก๊าซ ปตท. หันหน้ามาทางถนนเข้านิคมฯมาบตาพุด</t>
  </si>
  <si>
    <t>12°43.708"N</t>
  </si>
  <si>
    <t>101°8.572"E</t>
  </si>
  <si>
    <t>ตรงป้อมตำรวจ หน้าโรงเรียนวัดห้วยโป่ง</t>
  </si>
  <si>
    <t>12°45.293"N</t>
  </si>
  <si>
    <t>101°8.226"E</t>
  </si>
  <si>
    <t>สามแยกหน้า สภ.ห้วยโป่ง</t>
  </si>
  <si>
    <t>12°43.615"N</t>
  </si>
  <si>
    <t>101°7.502"E</t>
  </si>
  <si>
    <t>สามแยกหน้าตู้ ATM การเคหะฯ</t>
  </si>
  <si>
    <t>ชุมชนมาบชลูด-ชากกลาง</t>
  </si>
  <si>
    <t>12°43.537"N</t>
  </si>
  <si>
    <t>101°7.442"E</t>
  </si>
  <si>
    <t>สามแยกการเคหะ (อาคาร 1 กับอาคาร 5)</t>
  </si>
  <si>
    <t>สี่แยกทางเข้าสวนสาธารณะเทศบาล</t>
  </si>
  <si>
    <t>12°43.661"N</t>
  </si>
  <si>
    <t>101°7.412"E</t>
  </si>
  <si>
    <t>สี่แยกด้านหลังการเคหะ</t>
  </si>
  <si>
    <t>12°43.701"N</t>
  </si>
  <si>
    <t>101°7.336"E</t>
  </si>
  <si>
    <t>สามแยกเชื่อมถนนยู 3</t>
  </si>
  <si>
    <t>12°43.568"N</t>
  </si>
  <si>
    <t>101°7.294"E</t>
  </si>
  <si>
    <t>สี่แยกบริษัทคาทูนฯ ถนนสุขุมวิท 16</t>
  </si>
  <si>
    <t>12°43.241"N</t>
  </si>
  <si>
    <t>101°7.423"E</t>
  </si>
  <si>
    <t>สี่แยกส้มหล่น (มิตรประชา-บ้านฉางพลาบูรพาพัฒน์)</t>
  </si>
  <si>
    <t>12°43.478"N</t>
  </si>
  <si>
    <t>101°6.875"E</t>
  </si>
  <si>
    <t>เกาะกลางถนนสุขุมวิท 20 หน้าเทศบาล</t>
  </si>
  <si>
    <t>12°44.141"N</t>
  </si>
  <si>
    <t>101°7.819"E</t>
  </si>
  <si>
    <t>ปากซอยข้างปั๊มวีระพันธ์ (ถนนสุขุมวิท 18)</t>
  </si>
  <si>
    <t>12°44.248"N</t>
  </si>
  <si>
    <t>101°7.611"E</t>
  </si>
  <si>
    <t>สี่แยกบริษัทบีทราน (ถนนสุขุมวิท 18)</t>
  </si>
  <si>
    <t>12°44.081"N</t>
  </si>
  <si>
    <t>101°7.524"E</t>
  </si>
  <si>
    <t>ปากซอยร้านต๊อก (ถนนสุขุมวิท 13)</t>
  </si>
  <si>
    <t>12°44.264"N</t>
  </si>
  <si>
    <t>101°7.620"E</t>
  </si>
  <si>
    <t>ปากซอยชากลูกหญ้า (ถนนสุขุมวิท 9)</t>
  </si>
  <si>
    <t>12°44.572"N</t>
  </si>
  <si>
    <t>101°7.086"E</t>
  </si>
  <si>
    <t>ปากซอยมิตรประชา (ถนนสุขุมวิท 12)</t>
  </si>
  <si>
    <t>ชุมชนชากลูกหญ้า</t>
  </si>
  <si>
    <t>12°44.701"N</t>
  </si>
  <si>
    <t>101°6.813"E</t>
  </si>
  <si>
    <t>ปากซอยคีรี (ถนนสุขุมวิท 7)</t>
  </si>
  <si>
    <t>12°44.785"N</t>
  </si>
  <si>
    <t>101°6.732"E</t>
  </si>
  <si>
    <t>เกาะกลางถนนสุขุมวิทหน้าทางเข้าสุขุมวิท 1 (แยกแผ่นดินไทย)</t>
  </si>
  <si>
    <t>12°44.828"N</t>
  </si>
  <si>
    <t>101°6.021"E</t>
  </si>
  <si>
    <t>แยกบ้านเจ๊ก (ถนนราษฎร์บำรุง)</t>
  </si>
  <si>
    <t>ชุมชนเจริญพัฒนา</t>
  </si>
  <si>
    <t>12°44.904"N</t>
  </si>
  <si>
    <t>101°7.742"E</t>
  </si>
  <si>
    <t>สี่แยกสะพานน้ำท่วม (ถนนห้วยโป่ง-หนองบอน)</t>
  </si>
  <si>
    <t>ชุมชนห้วยโป่งใน 1</t>
  </si>
  <si>
    <t>12°46.289"N</t>
  </si>
  <si>
    <t>101°8.352"E</t>
  </si>
  <si>
    <t>ปากซอยอรพรรณ (ฝั่งถนนห้วยโป่ง-หนองบอน)</t>
  </si>
  <si>
    <t>ชุมชนห้วยโป่งใน-สะพานน้ำท่วม</t>
  </si>
  <si>
    <t>12°46.145"N</t>
  </si>
  <si>
    <t>101°8.309"E</t>
  </si>
  <si>
    <t>สี่แยกบ้านล่าง (ถนนห้วยโป่ง-หนองบอน)</t>
  </si>
  <si>
    <t>12°44.931"N</t>
  </si>
  <si>
    <t>101°8.173"E</t>
  </si>
  <si>
    <t>เชิงสะพานต่างระดับ (ถ.สุขุมวิททางเข้าการนิคมฯมาบตาพุด)</t>
  </si>
  <si>
    <t>ปากทางเข้าหมู่บ้านเทอดไทยมุสลิม (ถนนสุขุมวิท 25 )</t>
  </si>
  <si>
    <t>12°43.051"N</t>
  </si>
  <si>
    <t>101°9.703"E</t>
  </si>
  <si>
    <t>ปากทางเข้าตลาดเมืองใหม่มาบตาพุด ถนนสุขุมวิท</t>
  </si>
  <si>
    <t>12°43.018"N</t>
  </si>
  <si>
    <t>101°9.737"E</t>
  </si>
  <si>
    <t>ปากทางเข้าถนนเนินพยอม (ถนนสุขุมวิท 29)</t>
  </si>
  <si>
    <t>12°42.858"N</t>
  </si>
  <si>
    <t xml:space="preserve"> 101°10.030"E</t>
  </si>
  <si>
    <t>เกาะกลางถนนสุขุมวิท (บริเวณที่จอดรถจักรยานยนต์ ตลาดอินบัว)</t>
  </si>
  <si>
    <t>12°42.818"N</t>
  </si>
  <si>
    <t xml:space="preserve"> 101°10.075"E</t>
  </si>
  <si>
    <t>บริเวณหน้าตลาดสดเทศบาล ถนนเนินพยอม</t>
  </si>
  <si>
    <t>12°43.169"N</t>
  </si>
  <si>
    <t xml:space="preserve"> 101°10.096"E</t>
  </si>
  <si>
    <t>หน้าร้านแฟมิลี่มาร์ท</t>
  </si>
  <si>
    <t>12°43.245"N</t>
  </si>
  <si>
    <t xml:space="preserve"> 101°10.115"E</t>
  </si>
  <si>
    <t>ปากซอยไพศาล ถนนเนินพยอม</t>
  </si>
  <si>
    <t>12°43.313"N</t>
  </si>
  <si>
    <t xml:space="preserve"> 101°10.137"E</t>
  </si>
  <si>
    <t>บริเวณสี่แยกไฟแดงตลาดลานปูน ถนนมาบยา</t>
  </si>
  <si>
    <t>12°43.417"N</t>
  </si>
  <si>
    <t xml:space="preserve"> 101°10.164"E</t>
  </si>
  <si>
    <t>ตรงข้ามร้าน CJ มินิมาร์ท</t>
  </si>
  <si>
    <t>12°43.456"N</t>
  </si>
  <si>
    <t xml:space="preserve"> 101°10.187"E</t>
  </si>
  <si>
    <t>ปากทางเข้าหมู่บ้านเทอดไทยมุสลิม ถนนมาบยา</t>
  </si>
  <si>
    <t>12°43.702"N</t>
  </si>
  <si>
    <t>101°9.82"E</t>
  </si>
  <si>
    <t>ทางเข้าหมู่บ้านอัมพร ถนนมาบยา</t>
  </si>
  <si>
    <t>ชุมชนมาบยา</t>
  </si>
  <si>
    <t>12°43.830"N</t>
  </si>
  <si>
    <t>101°9.701"E</t>
  </si>
  <si>
    <t>สามแยกหน้าโรงพยาบาลมงกุฎระยอง</t>
  </si>
  <si>
    <t>12°44.000"N</t>
  </si>
  <si>
    <t>101°9.506"E</t>
  </si>
  <si>
    <t>เกาะกลางถนนมาบยา (สามแยกโรงพยาบาลมงกุฎระยอง)</t>
  </si>
  <si>
    <t>12°43.987"N</t>
  </si>
  <si>
    <t>101°9.511"E</t>
  </si>
  <si>
    <t>สามแยกตลาดลานปูนทางเข้าวัดมาบตาพุด</t>
  </si>
  <si>
    <t>12°43.507"N</t>
  </si>
  <si>
    <t xml:space="preserve"> 101°10.198"E</t>
  </si>
  <si>
    <t>ปากทางแยกถนนหัวน้ำตกข้าง  วัดมาบตาพุด</t>
  </si>
  <si>
    <t>12°43.466"N</t>
  </si>
  <si>
    <t xml:space="preserve"> 101°10.449"E</t>
  </si>
  <si>
    <t>เกาะกลางหน้าวัดมาบตาพุด</t>
  </si>
  <si>
    <t>ชุมชนบ้านล่าง</t>
  </si>
  <si>
    <t>12°43.440"N</t>
  </si>
  <si>
    <t xml:space="preserve"> 101°10.415"E</t>
  </si>
  <si>
    <t>สามแยกศาลเจ้าแม่จันเท</t>
  </si>
  <si>
    <t>12°43.274"N</t>
  </si>
  <si>
    <t xml:space="preserve"> 101°10.341"E</t>
  </si>
  <si>
    <t>สามแยกมาบตาพุด ซอย 14 ซอย 13 (ซอยศิริพร)</t>
  </si>
  <si>
    <t>12°43.032"N</t>
  </si>
  <si>
    <t xml:space="preserve"> 101°10.519"E</t>
  </si>
  <si>
    <t>ปากทางเข้าโรงเรียนมาบตาพุดพันพิทยาคาร</t>
  </si>
  <si>
    <t>ชุมชนสำนักกะบาก</t>
  </si>
  <si>
    <t>12°42.265"N</t>
  </si>
  <si>
    <t xml:space="preserve"> 101°11.030"E</t>
  </si>
  <si>
    <t>เกาะกลางถนนสุขุมวิท บริเวณสี่แยกเนินสำลี</t>
  </si>
  <si>
    <t>12°42.211"N</t>
  </si>
  <si>
    <t xml:space="preserve"> 101°11.122"E</t>
  </si>
  <si>
    <t>บริเวณข้างโรงเรียนโขดหิน</t>
  </si>
  <si>
    <t>12°41.786"N</t>
  </si>
  <si>
    <t xml:space="preserve"> 101°11.908"E</t>
  </si>
  <si>
    <t>บริเวณตลาดแพรวดาว</t>
  </si>
  <si>
    <t>ชุมชนโขดหินมิตรภาพ</t>
  </si>
  <si>
    <t>12°42.010"N</t>
  </si>
  <si>
    <t xml:space="preserve"> 101°11.979"E</t>
  </si>
  <si>
    <t>ทางเข้าซอยร่วมพัฒนา (หน้า บ.ฮงไทเฮงรีไซเคิล)</t>
  </si>
  <si>
    <t>12°41.605"N</t>
  </si>
  <si>
    <t xml:space="preserve"> 101°10.354"E</t>
  </si>
  <si>
    <t>สี่แยกไฟแดงทุ่งสะเดา</t>
  </si>
  <si>
    <t>12°41.571"N</t>
  </si>
  <si>
    <t>101°9.919"E</t>
  </si>
  <si>
    <t>สี่แยกไฟแดงอ่าวประดู่</t>
  </si>
  <si>
    <t>12°40.671"N</t>
  </si>
  <si>
    <t xml:space="preserve"> 101°10.192"E</t>
  </si>
  <si>
    <t>บริเวณแยกศาลาเอนกประสงค์ คลองน้ำหู</t>
  </si>
  <si>
    <t>12°41.027"N</t>
  </si>
  <si>
    <t xml:space="preserve"> 101°11.183"E</t>
  </si>
  <si>
    <t>สี่แยกถนนทางหลวงหมายเลข 363 ตัดซอยเขาไผ่</t>
  </si>
  <si>
    <t>ชุมชนเขาไผ่</t>
  </si>
  <si>
    <t>12°43.324"N</t>
  </si>
  <si>
    <t xml:space="preserve"> 101°12.172"E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</si>
</sst>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 yyyy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7.25"/>
    <col customWidth="1" min="3" max="3" width="14.13"/>
    <col customWidth="1" min="4" max="4" width="20.5"/>
    <col customWidth="1" min="5" max="5" width="19.88"/>
    <col customWidth="1" min="6" max="8" width="15.38"/>
    <col customWidth="1" min="9" max="9" width="17.63"/>
    <col customWidth="1" min="10" max="10" width="23.38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5.75" customHeight="1">
      <c r="A2" s="1">
        <v>1.0</v>
      </c>
      <c r="B2" s="3" t="s">
        <v>10</v>
      </c>
      <c r="C2" s="3" t="s">
        <v>11</v>
      </c>
      <c r="D2" s="4" t="s">
        <v>12</v>
      </c>
      <c r="E2" s="1" t="s">
        <v>13</v>
      </c>
      <c r="F2" s="5">
        <f>IFERROR(__xludf.DUMMYFUNCTION("ARRAYFORMULA(sum(split(D2,""°."""")N"")/{1,60,3600}))"),13.005277777777778)</f>
        <v>13.00527778</v>
      </c>
      <c r="G2" s="5">
        <f>IFERROR(__xludf.DUMMYFUNCTION("ARRAYFORMULA(sum(split(E2,""°."""")E"")/{1,60,3600}))"),101.32222222222222)</f>
        <v>101.3222222</v>
      </c>
      <c r="H2" s="4"/>
      <c r="I2" s="3">
        <v>1.0</v>
      </c>
      <c r="K2" s="4"/>
      <c r="L2" s="1"/>
    </row>
    <row r="3" ht="15.75" customHeight="1">
      <c r="A3" s="1">
        <v>2.0</v>
      </c>
      <c r="B3" s="3" t="s">
        <v>14</v>
      </c>
      <c r="C3" s="3" t="s">
        <v>11</v>
      </c>
      <c r="D3" s="4" t="s">
        <v>15</v>
      </c>
      <c r="E3" s="1" t="s">
        <v>16</v>
      </c>
      <c r="F3" s="5">
        <f>IFERROR(__xludf.DUMMYFUNCTION("ARRAYFORMULA(sum(split(D3,""°."""")N"")/{1,60,3600}))"),12.891111111111112)</f>
        <v>12.89111111</v>
      </c>
      <c r="G3" s="5">
        <f>IFERROR(__xludf.DUMMYFUNCTION("ARRAYFORMULA(sum(split(E3,""°."""")E"")/{1,60,3600}))"),101.25861111111112)</f>
        <v>101.2586111</v>
      </c>
      <c r="H3" s="4"/>
      <c r="I3" s="3">
        <v>1.0</v>
      </c>
      <c r="K3" s="4"/>
      <c r="L3" s="1"/>
    </row>
    <row r="4" ht="15.75" customHeight="1">
      <c r="A4" s="1">
        <v>3.0</v>
      </c>
      <c r="B4" s="3" t="s">
        <v>17</v>
      </c>
      <c r="C4" s="3" t="s">
        <v>11</v>
      </c>
      <c r="D4" s="4" t="s">
        <v>18</v>
      </c>
      <c r="E4" s="3" t="s">
        <v>19</v>
      </c>
      <c r="F4" s="5">
        <f>IFERROR(__xludf.DUMMYFUNCTION("ARRAYFORMULA(sum(split(D4,""°."""")N"")/{1,60,3600}))"),12.934722222222222)</f>
        <v>12.93472222</v>
      </c>
      <c r="G4" s="5">
        <f>IFERROR(__xludf.DUMMYFUNCTION("ARRAYFORMULA(sum(split(E4,""°."""")E"")/{1,60,3600}))"),101.16972222222223)</f>
        <v>101.1697222</v>
      </c>
      <c r="H4" s="4"/>
      <c r="I4" s="3">
        <v>1.0</v>
      </c>
      <c r="K4" s="4"/>
    </row>
    <row r="5" ht="15.75" customHeight="1">
      <c r="A5" s="1">
        <v>4.0</v>
      </c>
      <c r="B5" s="3" t="s">
        <v>20</v>
      </c>
      <c r="C5" s="3" t="s">
        <v>21</v>
      </c>
      <c r="D5" s="4" t="s">
        <v>22</v>
      </c>
      <c r="E5" s="3" t="s">
        <v>23</v>
      </c>
      <c r="F5" s="5">
        <f>IFERROR(__xludf.DUMMYFUNCTION("ARRAYFORMULA(sum(split(D5,""°."""")N"")/{1,60,3600}))"),12.911111111111111)</f>
        <v>12.91111111</v>
      </c>
      <c r="G5" s="5">
        <f>IFERROR(__xludf.DUMMYFUNCTION("ARRAYFORMULA(sum(split(E5,""°."""")E"")/{1,60,3600}))"),101.38666666666667)</f>
        <v>101.3866667</v>
      </c>
      <c r="H5" s="4"/>
      <c r="I5" s="3">
        <v>1.0</v>
      </c>
    </row>
    <row r="6" ht="15.75" customHeight="1">
      <c r="A6" s="1">
        <v>5.0</v>
      </c>
      <c r="B6" s="3" t="s">
        <v>24</v>
      </c>
      <c r="C6" s="3" t="s">
        <v>21</v>
      </c>
      <c r="D6" s="4" t="s">
        <v>25</v>
      </c>
      <c r="E6" s="3" t="s">
        <v>26</v>
      </c>
      <c r="F6" s="5">
        <f>IFERROR(__xludf.DUMMYFUNCTION("ARRAYFORMULA(sum(split(D6,""°."""")N"")/{1,60,3600}))"),12.9825)</f>
        <v>12.9825</v>
      </c>
      <c r="G6" s="5">
        <f>IFERROR(__xludf.DUMMYFUNCTION("ARRAYFORMULA(sum(split(E6,""°."""")E"")/{1,60,3600}))"),101.26527777777778)</f>
        <v>101.2652778</v>
      </c>
      <c r="H6" s="4"/>
      <c r="I6" s="3">
        <v>1.0</v>
      </c>
    </row>
    <row r="7" ht="15.75" customHeight="1">
      <c r="A7" s="1">
        <v>6.0</v>
      </c>
      <c r="B7" s="3" t="s">
        <v>27</v>
      </c>
      <c r="C7" s="3" t="s">
        <v>28</v>
      </c>
      <c r="D7" s="4" t="s">
        <v>29</v>
      </c>
      <c r="E7" s="1" t="s">
        <v>30</v>
      </c>
      <c r="F7" s="5">
        <f>IFERROR(__xludf.DUMMYFUNCTION("ARRAYFORMULA(sum(split(D7,""°."""")N"")/{1,60,3600}))"),12.943611111111112)</f>
        <v>12.94361111</v>
      </c>
      <c r="G7" s="5">
        <f>IFERROR(__xludf.DUMMYFUNCTION("ARRAYFORMULA(sum(split(E7,""°."""")E"")/{1,60,3600}))"),101.21333333333334)</f>
        <v>101.2133333</v>
      </c>
      <c r="H7" s="4"/>
      <c r="I7" s="3">
        <v>1.0</v>
      </c>
    </row>
    <row r="8" ht="15.75" customHeight="1">
      <c r="A8" s="1">
        <v>7.0</v>
      </c>
      <c r="B8" s="3" t="s">
        <v>31</v>
      </c>
      <c r="C8" s="3" t="s">
        <v>32</v>
      </c>
      <c r="D8" s="4" t="s">
        <v>33</v>
      </c>
      <c r="E8" s="1" t="s">
        <v>34</v>
      </c>
      <c r="F8" s="5">
        <f>IFERROR(__xludf.DUMMYFUNCTION("ARRAYFORMULA(sum(split(D8,""°."""")N"")/{1,60,3600}))"),12.798333333333334)</f>
        <v>12.79833333</v>
      </c>
      <c r="G8" s="5">
        <f>IFERROR(__xludf.DUMMYFUNCTION("ARRAYFORMULA(sum(split(E8,""°."""")E"")/{1,60,3600}))"),101.4413888888889)</f>
        <v>101.4413889</v>
      </c>
      <c r="H8" s="4"/>
      <c r="I8" s="3">
        <v>1.0</v>
      </c>
    </row>
    <row r="9" ht="15.75" customHeight="1">
      <c r="A9" s="1">
        <v>8.0</v>
      </c>
      <c r="B9" s="3" t="s">
        <v>35</v>
      </c>
      <c r="C9" s="3" t="s">
        <v>28</v>
      </c>
      <c r="D9" s="4" t="s">
        <v>36</v>
      </c>
      <c r="E9" s="1" t="s">
        <v>37</v>
      </c>
      <c r="F9" s="5">
        <f>IFERROR(__xludf.DUMMYFUNCTION("ARRAYFORMULA(sum(split(D9,""°."""")N"")/{1,60,3600}))"),12.828888888888889)</f>
        <v>12.82888889</v>
      </c>
      <c r="G9" s="5">
        <f>IFERROR(__xludf.DUMMYFUNCTION("ARRAYFORMULA(sum(split(E9,""°."""")E"")/{1,60,3600}))"),101.22083333333333)</f>
        <v>101.2208333</v>
      </c>
      <c r="H9" s="4"/>
      <c r="I9" s="3">
        <v>1.0</v>
      </c>
    </row>
    <row r="10" ht="15.75" customHeight="1">
      <c r="A10" s="1">
        <v>9.0</v>
      </c>
      <c r="B10" s="3" t="s">
        <v>38</v>
      </c>
      <c r="C10" s="3" t="s">
        <v>39</v>
      </c>
      <c r="D10" s="4" t="s">
        <v>40</v>
      </c>
      <c r="E10" s="3" t="s">
        <v>41</v>
      </c>
      <c r="F10" s="5">
        <f>IFERROR(__xludf.DUMMYFUNCTION("ARRAYFORMULA(sum(split(D10,""°."""")N"")/{1,60,3600}))"),12.824166666666667)</f>
        <v>12.82416667</v>
      </c>
      <c r="G10" s="5">
        <f>IFERROR(__xludf.DUMMYFUNCTION("ARRAYFORMULA(sum(split(E10,""°."""")E"")/{1,60,3600}))"),101.17611111111111)</f>
        <v>101.1761111</v>
      </c>
      <c r="H10" s="4"/>
      <c r="I10" s="3">
        <v>1.0</v>
      </c>
    </row>
    <row r="11" ht="15.75" customHeight="1">
      <c r="A11" s="1">
        <v>10.0</v>
      </c>
      <c r="B11" s="3" t="s">
        <v>42</v>
      </c>
      <c r="C11" s="3" t="s">
        <v>43</v>
      </c>
      <c r="D11" s="4" t="s">
        <v>44</v>
      </c>
      <c r="E11" s="3" t="s">
        <v>45</v>
      </c>
      <c r="F11" s="5">
        <f>IFERROR(__xludf.DUMMYFUNCTION("ARRAYFORMULA(sum(split(D11,""°."""")N"")/{1,60,3600}))"),12.833333333333332)</f>
        <v>12.83333333</v>
      </c>
      <c r="G11" s="5">
        <f>IFERROR(__xludf.DUMMYFUNCTION("ARRAYFORMULA(sum(split(E11,""°."""")E"")/{1,60,3600}))"),101.17194444444445)</f>
        <v>101.1719444</v>
      </c>
      <c r="H11" s="4"/>
      <c r="I11" s="3">
        <v>1.0</v>
      </c>
    </row>
    <row r="12" ht="15.75" customHeight="1">
      <c r="A12" s="1">
        <v>11.0</v>
      </c>
      <c r="B12" s="3" t="s">
        <v>46</v>
      </c>
      <c r="C12" s="3" t="s">
        <v>47</v>
      </c>
      <c r="D12" s="4" t="s">
        <v>48</v>
      </c>
      <c r="E12" s="3" t="s">
        <v>49</v>
      </c>
      <c r="F12" s="5">
        <f>IFERROR(__xludf.DUMMYFUNCTION("ARRAYFORMULA(sum(split(D12,""°."""")N"")/{1,60,3600}))"),12.944444444444443)</f>
        <v>12.94444444</v>
      </c>
      <c r="G12" s="5">
        <f>IFERROR(__xludf.DUMMYFUNCTION("ARRAYFORMULA(sum(split(E12,""°."""")E"")/{1,60,3600}))"),101.41916666666667)</f>
        <v>101.4191667</v>
      </c>
      <c r="H12" s="4"/>
      <c r="I12" s="3">
        <v>1.0</v>
      </c>
    </row>
    <row r="13" ht="15.75" customHeight="1">
      <c r="A13" s="1">
        <v>12.0</v>
      </c>
      <c r="B13" s="3" t="s">
        <v>50</v>
      </c>
      <c r="C13" s="3" t="s">
        <v>51</v>
      </c>
      <c r="D13" s="4" t="s">
        <v>52</v>
      </c>
      <c r="E13" s="1" t="s">
        <v>53</v>
      </c>
      <c r="F13" s="5">
        <f>IFERROR(__xludf.DUMMYFUNCTION("ARRAYFORMULA(sum(split(D13,""°."""")N"")/{1,60,3600}))"),12.789166666666667)</f>
        <v>12.78916667</v>
      </c>
      <c r="G13" s="5">
        <f>IFERROR(__xludf.DUMMYFUNCTION("ARRAYFORMULA(sum(split(E13,""°."""")E"")/{1,60,3600}))"),101.41638888888889)</f>
        <v>101.4163889</v>
      </c>
      <c r="H13" s="4"/>
      <c r="I13" s="3">
        <v>1.0</v>
      </c>
    </row>
    <row r="14" ht="15.75" customHeight="1">
      <c r="A14" s="1">
        <v>13.0</v>
      </c>
      <c r="B14" s="3" t="s">
        <v>54</v>
      </c>
      <c r="C14" s="3" t="s">
        <v>51</v>
      </c>
      <c r="D14" s="4" t="s">
        <v>55</v>
      </c>
      <c r="E14" s="1" t="s">
        <v>56</v>
      </c>
      <c r="F14" s="5">
        <f>IFERROR(__xludf.DUMMYFUNCTION("ARRAYFORMULA(sum(split(D14,""°."""")N"")/{1,60,3600}))"),12.748333333333333)</f>
        <v>12.74833333</v>
      </c>
      <c r="G14" s="5">
        <f>IFERROR(__xludf.DUMMYFUNCTION("ARRAYFORMULA(sum(split(E14,""°."""")E"")/{1,60,3600}))"),101.2063888888889)</f>
        <v>101.2063889</v>
      </c>
      <c r="H14" s="4"/>
      <c r="I14" s="3">
        <v>1.0</v>
      </c>
    </row>
    <row r="15" ht="15.75" customHeight="1">
      <c r="A15" s="1">
        <v>14.0</v>
      </c>
      <c r="B15" s="3" t="s">
        <v>57</v>
      </c>
      <c r="C15" s="3" t="s">
        <v>39</v>
      </c>
      <c r="D15" s="4" t="s">
        <v>58</v>
      </c>
      <c r="E15" s="3" t="s">
        <v>59</v>
      </c>
      <c r="F15" s="5">
        <f>IFERROR(__xludf.DUMMYFUNCTION("ARRAYFORMULA(sum(split(D15,""°."""")N"")/{1,60,3600}))"),12.895833333333334)</f>
        <v>12.89583333</v>
      </c>
      <c r="G15" s="5">
        <f>IFERROR(__xludf.DUMMYFUNCTION("ARRAYFORMULA(sum(split(E15,""°."""")E"")/{1,60,3600}))"),101.34055555555557)</f>
        <v>101.3405556</v>
      </c>
      <c r="H15" s="4"/>
      <c r="I15" s="3">
        <v>1.0</v>
      </c>
    </row>
    <row r="16" ht="15.75" customHeight="1">
      <c r="A16" s="1">
        <v>15.0</v>
      </c>
      <c r="B16" s="3" t="s">
        <v>60</v>
      </c>
      <c r="C16" s="3" t="s">
        <v>61</v>
      </c>
      <c r="D16" s="4" t="s">
        <v>62</v>
      </c>
      <c r="E16" s="3" t="s">
        <v>63</v>
      </c>
      <c r="F16" s="5">
        <f>IFERROR(__xludf.DUMMYFUNCTION("ARRAYFORMULA(sum(split(D16,""°."""")N"")/{1,60,3600}))"),12.811944444444444)</f>
        <v>12.81194444</v>
      </c>
      <c r="G16" s="5">
        <f>IFERROR(__xludf.DUMMYFUNCTION("ARRAYFORMULA(sum(split(E16,""°."""")E"")/{1,60,3600}))"),101.18666666666665)</f>
        <v>101.1866667</v>
      </c>
      <c r="H16" s="4"/>
      <c r="I16" s="3">
        <v>1.0</v>
      </c>
    </row>
    <row r="17" ht="15.75" customHeight="1">
      <c r="A17" s="1">
        <v>16.0</v>
      </c>
      <c r="B17" s="3" t="s">
        <v>64</v>
      </c>
      <c r="C17" s="3" t="s">
        <v>65</v>
      </c>
      <c r="D17" s="4" t="s">
        <v>66</v>
      </c>
      <c r="E17" s="3" t="s">
        <v>67</v>
      </c>
      <c r="F17" s="5">
        <f>IFERROR(__xludf.DUMMYFUNCTION("ARRAYFORMULA(sum(split(D17,""°."""")N"")/{1,60,3600}))"),12.850555555555555)</f>
        <v>12.85055556</v>
      </c>
      <c r="G17" s="5">
        <f>IFERROR(__xludf.DUMMYFUNCTION("ARRAYFORMULA(sum(split(E17,""°."""")E"")/{1,60,3600}))"),101.21472222222222)</f>
        <v>101.2147222</v>
      </c>
      <c r="H17" s="4"/>
      <c r="I17" s="3">
        <v>1.0</v>
      </c>
    </row>
    <row r="18" ht="15.75" customHeight="1">
      <c r="A18" s="1">
        <v>17.0</v>
      </c>
      <c r="B18" s="3" t="s">
        <v>68</v>
      </c>
      <c r="C18" s="3" t="s">
        <v>69</v>
      </c>
      <c r="D18" s="4" t="s">
        <v>70</v>
      </c>
      <c r="E18" s="3" t="s">
        <v>71</v>
      </c>
      <c r="F18" s="5">
        <f>IFERROR(__xludf.DUMMYFUNCTION("ARRAYFORMULA(sum(split(D18,""°."""")N"")/{1,60,3600}))"),12.74611111111111)</f>
        <v>12.74611111</v>
      </c>
      <c r="G18" s="5">
        <f>IFERROR(__xludf.DUMMYFUNCTION("ARRAYFORMULA(sum(split(E18,""°."""")E"")/{1,60,3600}))"),101.38388888888888)</f>
        <v>101.3838889</v>
      </c>
      <c r="H18" s="4"/>
      <c r="I18" s="3">
        <v>1.0</v>
      </c>
    </row>
    <row r="19" ht="15.75" customHeight="1">
      <c r="A19" s="1">
        <v>18.0</v>
      </c>
      <c r="B19" s="3" t="s">
        <v>72</v>
      </c>
      <c r="C19" s="3" t="s">
        <v>73</v>
      </c>
      <c r="D19" s="4" t="s">
        <v>74</v>
      </c>
      <c r="E19" s="1" t="s">
        <v>75</v>
      </c>
      <c r="F19" s="5">
        <f>IFERROR(__xludf.DUMMYFUNCTION("ARRAYFORMULA(sum(split(D19,""°."""")N"")/{1,60,3600}))"),12.957777777777777)</f>
        <v>12.95777778</v>
      </c>
      <c r="G19" s="5">
        <f>IFERROR(__xludf.DUMMYFUNCTION("ARRAYFORMULA(sum(split(E19,""°."""")E"")/{1,60,3600}))"),101.20027777777779)</f>
        <v>101.2002778</v>
      </c>
      <c r="H19" s="4"/>
      <c r="I19" s="3">
        <v>1.0</v>
      </c>
    </row>
    <row r="20" ht="15.75" customHeight="1">
      <c r="A20" s="1">
        <v>19.0</v>
      </c>
      <c r="B20" s="3" t="s">
        <v>76</v>
      </c>
      <c r="C20" s="3" t="s">
        <v>77</v>
      </c>
      <c r="D20" s="4" t="s">
        <v>78</v>
      </c>
      <c r="E20" s="3" t="s">
        <v>79</v>
      </c>
      <c r="F20" s="5">
        <f>IFERROR(__xludf.DUMMYFUNCTION("ARRAYFORMULA(sum(split(D20,""°."""")N"")/{1,60,3600}))"),12.746388888888887)</f>
        <v>12.74638889</v>
      </c>
      <c r="G20" s="5">
        <f>IFERROR(__xludf.DUMMYFUNCTION("ARRAYFORMULA(sum(split(E20,""°."""")E"")/{1,60,3600}))"),101.39361111111111)</f>
        <v>101.3936111</v>
      </c>
      <c r="H20" s="4"/>
      <c r="I20" s="3">
        <v>1.0</v>
      </c>
    </row>
    <row r="21" ht="15.75" customHeight="1">
      <c r="A21" s="1">
        <v>20.0</v>
      </c>
      <c r="B21" s="3" t="s">
        <v>80</v>
      </c>
      <c r="C21" s="3" t="s">
        <v>77</v>
      </c>
      <c r="D21" s="4" t="s">
        <v>81</v>
      </c>
      <c r="E21" s="1" t="s">
        <v>82</v>
      </c>
      <c r="F21" s="5">
        <f>IFERROR(__xludf.DUMMYFUNCTION("ARRAYFORMULA(sum(split(D21,""°."""")N"")/{1,60,3600}))"),12.917777777777777)</f>
        <v>12.91777778</v>
      </c>
      <c r="G21" s="5">
        <f>IFERROR(__xludf.DUMMYFUNCTION("ARRAYFORMULA(sum(split(E21,""°."""")E"")/{1,60,3600}))"),101.20444444444445)</f>
        <v>101.2044444</v>
      </c>
      <c r="H21" s="4"/>
      <c r="I21" s="3">
        <v>1.0</v>
      </c>
    </row>
    <row r="22" ht="15.75" customHeight="1">
      <c r="A22" s="1">
        <v>21.0</v>
      </c>
      <c r="B22" s="3" t="s">
        <v>83</v>
      </c>
      <c r="C22" s="3" t="s">
        <v>84</v>
      </c>
      <c r="D22" s="4" t="s">
        <v>85</v>
      </c>
      <c r="E22" s="1" t="s">
        <v>86</v>
      </c>
      <c r="F22" s="5">
        <f>IFERROR(__xludf.DUMMYFUNCTION("ARRAYFORMULA(sum(split(D22,""°."""")N"")/{1,60,3600}))"),12.895277777777778)</f>
        <v>12.89527778</v>
      </c>
      <c r="G22" s="5">
        <f>IFERROR(__xludf.DUMMYFUNCTION("ARRAYFORMULA(sum(split(E22,""°."""")E"")/{1,60,3600}))"),101.42027777777778)</f>
        <v>101.4202778</v>
      </c>
      <c r="H22" s="4"/>
      <c r="I22" s="3">
        <v>1.0</v>
      </c>
    </row>
    <row r="23" ht="15.75" customHeight="1">
      <c r="A23" s="1">
        <v>22.0</v>
      </c>
      <c r="B23" s="3" t="s">
        <v>87</v>
      </c>
      <c r="C23" s="3" t="s">
        <v>88</v>
      </c>
      <c r="D23" s="4" t="s">
        <v>89</v>
      </c>
      <c r="E23" s="1" t="s">
        <v>90</v>
      </c>
      <c r="F23" s="5">
        <f>IFERROR(__xludf.DUMMYFUNCTION("ARRAYFORMULA(sum(split(D23,""°."""")N"")/{1,60,3600}))"),12.810277777777777)</f>
        <v>12.81027778</v>
      </c>
      <c r="G23" s="5">
        <f>IFERROR(__xludf.DUMMYFUNCTION("ARRAYFORMULA(sum(split(E23,""°."""")E"")/{1,60,3600}))"),101.3075)</f>
        <v>101.3075</v>
      </c>
      <c r="H23" s="4"/>
      <c r="I23" s="3">
        <v>1.0</v>
      </c>
    </row>
    <row r="24" ht="15.75" customHeight="1">
      <c r="A24" s="1">
        <v>23.0</v>
      </c>
      <c r="B24" s="3" t="s">
        <v>91</v>
      </c>
      <c r="C24" s="3" t="s">
        <v>92</v>
      </c>
      <c r="D24" s="4" t="s">
        <v>93</v>
      </c>
      <c r="E24" s="3" t="s">
        <v>94</v>
      </c>
      <c r="F24" s="5">
        <f>IFERROR(__xludf.DUMMYFUNCTION("ARRAYFORMULA(sum(split(D24,""°."""")N"")/{1,60,3600}))"),12.829722222222223)</f>
        <v>12.82972222</v>
      </c>
      <c r="G24" s="5">
        <f>IFERROR(__xludf.DUMMYFUNCTION("ARRAYFORMULA(sum(split(E24,""°."""")E"")/{1,60,3600}))"),101.40055555555556)</f>
        <v>101.4005556</v>
      </c>
      <c r="H24" s="4"/>
      <c r="I24" s="3">
        <v>1.0</v>
      </c>
    </row>
    <row r="25" ht="15.75" customHeight="1">
      <c r="A25" s="1">
        <v>24.0</v>
      </c>
      <c r="B25" s="3" t="s">
        <v>95</v>
      </c>
      <c r="C25" s="3" t="s">
        <v>92</v>
      </c>
      <c r="D25" s="4" t="s">
        <v>96</v>
      </c>
      <c r="E25" s="1" t="s">
        <v>97</v>
      </c>
      <c r="F25" s="5">
        <f>IFERROR(__xludf.DUMMYFUNCTION("ARRAYFORMULA(sum(split(D25,""°."""")N"")/{1,60,3600}))"),12.852777777777778)</f>
        <v>12.85277778</v>
      </c>
      <c r="G25" s="5">
        <f>IFERROR(__xludf.DUMMYFUNCTION("ARRAYFORMULA(sum(split(E25,""°."""")E"")/{1,60,3600}))"),101.21666666666667)</f>
        <v>101.2166667</v>
      </c>
      <c r="H25" s="4"/>
      <c r="I25" s="3">
        <v>1.0</v>
      </c>
    </row>
    <row r="26" ht="15.75" customHeight="1">
      <c r="A26" s="1">
        <v>25.0</v>
      </c>
      <c r="B26" s="3" t="s">
        <v>98</v>
      </c>
      <c r="C26" s="3" t="s">
        <v>92</v>
      </c>
      <c r="D26" s="4" t="s">
        <v>99</v>
      </c>
      <c r="E26" s="3" t="s">
        <v>100</v>
      </c>
      <c r="F26" s="5">
        <f>IFERROR(__xludf.DUMMYFUNCTION("ARRAYFORMULA(sum(split(D26,""°."""")N"")/{1,60,3600}))"),12.903333333333332)</f>
        <v>12.90333333</v>
      </c>
      <c r="G26" s="5">
        <f>IFERROR(__xludf.DUMMYFUNCTION("ARRAYFORMULA(sum(split(E26,""°."""")E"")/{1,60,3600}))"),101.32583333333334)</f>
        <v>101.3258333</v>
      </c>
      <c r="H26" s="4"/>
      <c r="I26" s="3">
        <v>1.0</v>
      </c>
    </row>
    <row r="27" ht="15.75" customHeight="1">
      <c r="A27" s="1">
        <v>26.0</v>
      </c>
      <c r="B27" s="3" t="s">
        <v>101</v>
      </c>
      <c r="C27" s="3" t="s">
        <v>69</v>
      </c>
      <c r="D27" s="4" t="s">
        <v>102</v>
      </c>
      <c r="E27" s="3" t="s">
        <v>103</v>
      </c>
      <c r="F27" s="5">
        <f>IFERROR(__xludf.DUMMYFUNCTION("ARRAYFORMULA(sum(split(D27,""°."""")N"")/{1,60,3600}))"),12.766944444444444)</f>
        <v>12.76694444</v>
      </c>
      <c r="G27" s="5">
        <f>IFERROR(__xludf.DUMMYFUNCTION("ARRAYFORMULA(sum(split(E27,""°."""")E"")/{1,60,3600}))"),101.34666666666666)</f>
        <v>101.3466667</v>
      </c>
      <c r="H27" s="4"/>
      <c r="I27" s="3">
        <v>1.0</v>
      </c>
    </row>
    <row r="28" ht="15.75" customHeight="1">
      <c r="A28" s="1">
        <v>27.0</v>
      </c>
      <c r="B28" s="3" t="s">
        <v>104</v>
      </c>
      <c r="C28" s="3" t="s">
        <v>61</v>
      </c>
      <c r="D28" s="4" t="s">
        <v>105</v>
      </c>
      <c r="E28" s="3" t="s">
        <v>106</v>
      </c>
      <c r="F28" s="5">
        <f>IFERROR(__xludf.DUMMYFUNCTION("ARRAYFORMULA(sum(split(D28,""°."""")N"")/{1,60,3600}))"),12.745555555555555)</f>
        <v>12.74555556</v>
      </c>
      <c r="G28" s="5">
        <f>IFERROR(__xludf.DUMMYFUNCTION("ARRAYFORMULA(sum(split(E28,""°."""")E"")/{1,60,3600}))"),101.29166666666666)</f>
        <v>101.2916667</v>
      </c>
      <c r="H28" s="4"/>
      <c r="I28" s="3">
        <v>1.0</v>
      </c>
    </row>
    <row r="29" ht="15.75" customHeight="1">
      <c r="A29" s="1">
        <v>28.0</v>
      </c>
      <c r="B29" s="3" t="s">
        <v>107</v>
      </c>
      <c r="C29" s="3" t="s">
        <v>39</v>
      </c>
      <c r="D29" s="4" t="s">
        <v>108</v>
      </c>
      <c r="E29" s="3" t="s">
        <v>109</v>
      </c>
      <c r="F29" s="5">
        <f>IFERROR(__xludf.DUMMYFUNCTION("ARRAYFORMULA(sum(split(D29,""°."""")N"")/{1,60,3600}))"),12.965555555555556)</f>
        <v>12.96555556</v>
      </c>
      <c r="G29" s="5">
        <f>IFERROR(__xludf.DUMMYFUNCTION("ARRAYFORMULA(sum(split(E29,""°."""")E"")/{1,60,3600}))"),101.38361111111112)</f>
        <v>101.3836111</v>
      </c>
      <c r="H29" s="4"/>
      <c r="I29" s="3">
        <v>1.0</v>
      </c>
    </row>
    <row r="30" ht="15.75" customHeight="1">
      <c r="A30" s="1">
        <v>29.0</v>
      </c>
      <c r="B30" s="3" t="s">
        <v>110</v>
      </c>
      <c r="C30" s="3" t="s">
        <v>69</v>
      </c>
      <c r="D30" s="4" t="s">
        <v>111</v>
      </c>
      <c r="E30" s="3" t="s">
        <v>112</v>
      </c>
      <c r="F30" s="5">
        <f>IFERROR(__xludf.DUMMYFUNCTION("ARRAYFORMULA(sum(split(D30,""°."""")N"")/{1,60,3600}))"),12.913333333333334)</f>
        <v>12.91333333</v>
      </c>
      <c r="G30" s="5">
        <f>IFERROR(__xludf.DUMMYFUNCTION("ARRAYFORMULA(sum(split(E30,""°."""")E"")/{1,60,3600}))"),101.29222222222224)</f>
        <v>101.2922222</v>
      </c>
      <c r="H30" s="4"/>
      <c r="I30" s="3">
        <v>1.0</v>
      </c>
    </row>
    <row r="31" ht="15.75" customHeight="1">
      <c r="A31" s="1">
        <v>30.0</v>
      </c>
      <c r="B31" s="3" t="s">
        <v>113</v>
      </c>
      <c r="C31" s="3" t="s">
        <v>43</v>
      </c>
      <c r="D31" s="4" t="s">
        <v>114</v>
      </c>
      <c r="E31" s="3" t="s">
        <v>115</v>
      </c>
      <c r="F31" s="5">
        <f>IFERROR(__xludf.DUMMYFUNCTION("ARRAYFORMULA(sum(split(D31,""°."""")N"")/{1,60,3600}))"),12.831388888888888)</f>
        <v>12.83138889</v>
      </c>
      <c r="G31" s="5">
        <f>IFERROR(__xludf.DUMMYFUNCTION("ARRAYFORMULA(sum(split(E31,""°."""")E"")/{1,60,3600}))"),101.19611111111112)</f>
        <v>101.1961111</v>
      </c>
      <c r="H31" s="4"/>
      <c r="I31" s="3">
        <v>1.0</v>
      </c>
    </row>
    <row r="32" ht="15.75" customHeight="1">
      <c r="A32" s="1">
        <v>31.0</v>
      </c>
      <c r="B32" s="3" t="s">
        <v>116</v>
      </c>
      <c r="C32" s="3" t="s">
        <v>61</v>
      </c>
      <c r="D32" s="4" t="s">
        <v>117</v>
      </c>
      <c r="E32" s="3" t="s">
        <v>118</v>
      </c>
      <c r="F32" s="5">
        <f>IFERROR(__xludf.DUMMYFUNCTION("ARRAYFORMULA(sum(split(D32,""°."""")N"")/{1,60,3600}))"),12.8875)</f>
        <v>12.8875</v>
      </c>
      <c r="G32" s="5">
        <f>IFERROR(__xludf.DUMMYFUNCTION("ARRAYFORMULA(sum(split(E32,""°."""")E"")/{1,60,3600}))"),101.25611111111111)</f>
        <v>101.2561111</v>
      </c>
      <c r="H32" s="4"/>
      <c r="I32" s="3">
        <v>1.0</v>
      </c>
    </row>
    <row r="33" ht="15.75" customHeight="1">
      <c r="A33" s="1">
        <v>32.0</v>
      </c>
      <c r="B33" s="3" t="s">
        <v>119</v>
      </c>
      <c r="C33" s="3" t="s">
        <v>120</v>
      </c>
      <c r="D33" s="4" t="s">
        <v>121</v>
      </c>
      <c r="E33" s="3" t="s">
        <v>122</v>
      </c>
      <c r="F33" s="5">
        <f>IFERROR(__xludf.DUMMYFUNCTION("ARRAYFORMULA(sum(split(D33,""°."""")N"")/{1,60,3600}))"),12.865833333333333)</f>
        <v>12.86583333</v>
      </c>
      <c r="G33" s="5">
        <f>IFERROR(__xludf.DUMMYFUNCTION("ARRAYFORMULA(sum(split(E33,""°."""")E"")/{1,60,3600}))"),101.23944444444444)</f>
        <v>101.2394444</v>
      </c>
      <c r="H33" s="4"/>
      <c r="I33" s="3">
        <v>1.0</v>
      </c>
    </row>
    <row r="34" ht="15.75" customHeight="1">
      <c r="A34" s="1">
        <v>33.0</v>
      </c>
      <c r="B34" s="3" t="s">
        <v>123</v>
      </c>
      <c r="C34" s="3" t="s">
        <v>120</v>
      </c>
      <c r="D34" s="4" t="s">
        <v>121</v>
      </c>
      <c r="E34" s="3" t="s">
        <v>122</v>
      </c>
      <c r="F34" s="5">
        <f>IFERROR(__xludf.DUMMYFUNCTION("ARRAYFORMULA(sum(split(D34,""°."""")N"")/{1,60,3600}))"),12.865833333333333)</f>
        <v>12.86583333</v>
      </c>
      <c r="G34" s="5">
        <f>IFERROR(__xludf.DUMMYFUNCTION("ARRAYFORMULA(sum(split(E34,""°."""")E"")/{1,60,3600}))"),101.23944444444444)</f>
        <v>101.2394444</v>
      </c>
      <c r="H34" s="4"/>
      <c r="I34" s="3">
        <v>1.0</v>
      </c>
    </row>
    <row r="35" ht="15.75" customHeight="1">
      <c r="A35" s="1">
        <v>34.0</v>
      </c>
      <c r="B35" s="3" t="s">
        <v>124</v>
      </c>
      <c r="C35" s="3" t="s">
        <v>61</v>
      </c>
      <c r="D35" s="4" t="s">
        <v>125</v>
      </c>
      <c r="E35" s="3" t="s">
        <v>126</v>
      </c>
      <c r="F35" s="5">
        <f>IFERROR(__xludf.DUMMYFUNCTION("ARRAYFORMULA(sum(split(D35,""°."""")N"")/{1,60,3600}))"),12.900277777777777)</f>
        <v>12.90027778</v>
      </c>
      <c r="G35" s="5">
        <f>IFERROR(__xludf.DUMMYFUNCTION("ARRAYFORMULA(sum(split(E35,""°."""")E"")/{1,60,3600}))"),101.2311111111111)</f>
        <v>101.2311111</v>
      </c>
      <c r="H35" s="4"/>
      <c r="I35" s="3">
        <v>1.0</v>
      </c>
    </row>
    <row r="36" ht="15.75" customHeight="1">
      <c r="A36" s="1">
        <v>35.0</v>
      </c>
      <c r="B36" s="3" t="s">
        <v>127</v>
      </c>
      <c r="C36" s="3" t="s">
        <v>61</v>
      </c>
      <c r="D36" s="4" t="s">
        <v>128</v>
      </c>
      <c r="E36" s="3" t="s">
        <v>129</v>
      </c>
      <c r="F36" s="5">
        <f>IFERROR(__xludf.DUMMYFUNCTION("ARRAYFORMULA(sum(split(D36,""°."""")N"")/{1,60,3600}))"),12.911388888888888)</f>
        <v>12.91138889</v>
      </c>
      <c r="G36" s="5">
        <f>IFERROR(__xludf.DUMMYFUNCTION("ARRAYFORMULA(sum(split(E36,""°."""")E"")/{1,60,3600}))"),101.21)</f>
        <v>101.21</v>
      </c>
      <c r="H36" s="4"/>
      <c r="I36" s="3">
        <v>1.0</v>
      </c>
    </row>
    <row r="37" ht="15.75" customHeight="1">
      <c r="A37" s="1">
        <v>36.0</v>
      </c>
      <c r="B37" s="3" t="s">
        <v>130</v>
      </c>
      <c r="C37" s="3" t="s">
        <v>120</v>
      </c>
      <c r="D37" s="4" t="s">
        <v>131</v>
      </c>
      <c r="E37" s="3" t="s">
        <v>132</v>
      </c>
      <c r="F37" s="5">
        <f>IFERROR(__xludf.DUMMYFUNCTION("ARRAYFORMULA(sum(split(D37,""°."""")N"")/{1,60,3600}))"),12.874444444444444)</f>
        <v>12.87444444</v>
      </c>
      <c r="G37" s="5">
        <f>IFERROR(__xludf.DUMMYFUNCTION("ARRAYFORMULA(sum(split(E37,""°."""")E"")/{1,60,3600}))"),101.19833333333332)</f>
        <v>101.1983333</v>
      </c>
      <c r="H37" s="4"/>
      <c r="I37" s="3">
        <v>1.0</v>
      </c>
    </row>
    <row r="38" ht="15.75" customHeight="1">
      <c r="A38" s="1">
        <v>37.0</v>
      </c>
      <c r="B38" s="3" t="s">
        <v>133</v>
      </c>
      <c r="C38" s="3" t="s">
        <v>120</v>
      </c>
      <c r="D38" s="4" t="s">
        <v>134</v>
      </c>
      <c r="E38" s="3" t="s">
        <v>135</v>
      </c>
      <c r="F38" s="5">
        <f>IFERROR(__xludf.DUMMYFUNCTION("ARRAYFORMULA(sum(split(D38,""°."""")N"")/{1,60,3600}))"),12.783611111111112)</f>
        <v>12.78361111</v>
      </c>
      <c r="G38" s="5">
        <f>IFERROR(__xludf.DUMMYFUNCTION("ARRAYFORMULA(sum(split(E38,""°."""")E"")/{1,60,3600}))"),101.23416666666667)</f>
        <v>101.2341667</v>
      </c>
      <c r="H38" s="4"/>
      <c r="I38" s="3">
        <v>1.0</v>
      </c>
    </row>
    <row r="39" ht="15.75" customHeight="1">
      <c r="A39" s="1">
        <v>38.0</v>
      </c>
      <c r="B39" s="3" t="s">
        <v>136</v>
      </c>
      <c r="C39" s="3" t="s">
        <v>120</v>
      </c>
      <c r="D39" s="4" t="s">
        <v>137</v>
      </c>
      <c r="E39" s="3" t="s">
        <v>138</v>
      </c>
      <c r="F39" s="5">
        <f>IFERROR(__xludf.DUMMYFUNCTION("ARRAYFORMULA(sum(split(D39,""°."""")N"")/{1,60,3600}))"),12.849444444444444)</f>
        <v>12.84944444</v>
      </c>
      <c r="G39" s="5">
        <f>IFERROR(__xludf.DUMMYFUNCTION("ARRAYFORMULA(sum(split(E39,""°."""")E"")/{1,60,3600}))"),101.34305555555555)</f>
        <v>101.3430556</v>
      </c>
      <c r="H39" s="4"/>
      <c r="I39" s="3">
        <v>1.0</v>
      </c>
    </row>
    <row r="40" ht="15.75" customHeight="1">
      <c r="A40" s="1">
        <v>39.0</v>
      </c>
      <c r="B40" s="3" t="s">
        <v>139</v>
      </c>
      <c r="C40" s="3" t="s">
        <v>69</v>
      </c>
      <c r="D40" s="4" t="s">
        <v>140</v>
      </c>
      <c r="E40" s="3" t="s">
        <v>141</v>
      </c>
      <c r="F40" s="5">
        <f>IFERROR(__xludf.DUMMYFUNCTION("ARRAYFORMULA(sum(split(D40,""°."""")N"")/{1,60,3600}))"),12.772499999999999)</f>
        <v>12.7725</v>
      </c>
      <c r="G40" s="5">
        <f>IFERROR(__xludf.DUMMYFUNCTION("ARRAYFORMULA(sum(split(E40,""°."""")E"")/{1,60,3600}))"),101.34416666666667)</f>
        <v>101.3441667</v>
      </c>
      <c r="H40" s="4"/>
      <c r="I40" s="3">
        <v>1.0</v>
      </c>
    </row>
    <row r="41" ht="15.75" customHeight="1">
      <c r="A41" s="1">
        <v>40.0</v>
      </c>
      <c r="B41" s="3" t="s">
        <v>142</v>
      </c>
      <c r="C41" s="3" t="s">
        <v>61</v>
      </c>
      <c r="D41" s="4" t="s">
        <v>143</v>
      </c>
      <c r="E41" s="3" t="s">
        <v>144</v>
      </c>
      <c r="F41" s="5">
        <f>IFERROR(__xludf.DUMMYFUNCTION("ARRAYFORMULA(sum(split(D41,""°."""")N"")/{1,60,3600}))"),12.802222222222222)</f>
        <v>12.80222222</v>
      </c>
      <c r="G41" s="5">
        <f>IFERROR(__xludf.DUMMYFUNCTION("ARRAYFORMULA(sum(split(E41,""°."""")E"")/{1,60,3600}))"),101.28638888888888)</f>
        <v>101.2863889</v>
      </c>
      <c r="H41" s="4"/>
      <c r="I41" s="3">
        <v>1.0</v>
      </c>
    </row>
    <row r="42" ht="15.75" customHeight="1">
      <c r="A42" s="1">
        <v>41.0</v>
      </c>
      <c r="B42" s="3" t="s">
        <v>145</v>
      </c>
      <c r="C42" s="3" t="s">
        <v>61</v>
      </c>
      <c r="D42" s="4" t="s">
        <v>146</v>
      </c>
      <c r="E42" s="3" t="s">
        <v>147</v>
      </c>
      <c r="F42" s="5">
        <f>IFERROR(__xludf.DUMMYFUNCTION("ARRAYFORMULA(sum(split(D42,""°."""")N"")/{1,60,3600}))"),12.755833333333333)</f>
        <v>12.75583333</v>
      </c>
      <c r="G42" s="5">
        <f>IFERROR(__xludf.DUMMYFUNCTION("ARRAYFORMULA(sum(split(E42,""°."""")E"")/{1,60,3600}))"),101.26222222222222)</f>
        <v>101.2622222</v>
      </c>
      <c r="H42" s="4"/>
      <c r="I42" s="3">
        <v>1.0</v>
      </c>
    </row>
    <row r="43" ht="15.75" customHeight="1">
      <c r="A43" s="1">
        <v>42.0</v>
      </c>
      <c r="B43" s="3" t="s">
        <v>148</v>
      </c>
      <c r="C43" s="3" t="s">
        <v>69</v>
      </c>
      <c r="D43" s="4" t="s">
        <v>149</v>
      </c>
      <c r="E43" s="3" t="s">
        <v>150</v>
      </c>
      <c r="F43" s="5">
        <f>IFERROR(__xludf.DUMMYFUNCTION("ARRAYFORMULA(sum(split(D43,""°."""")N"")/{1,60,3600}))"),12.806666666666667)</f>
        <v>12.80666667</v>
      </c>
      <c r="G43" s="5">
        <f>IFERROR(__xludf.DUMMYFUNCTION("ARRAYFORMULA(sum(split(E43,""°."""")E"")/{1,60,3600}))"),101.28888888888888)</f>
        <v>101.2888889</v>
      </c>
      <c r="H43" s="4"/>
      <c r="I43" s="3">
        <v>1.0</v>
      </c>
    </row>
    <row r="44" ht="15.75" customHeight="1">
      <c r="A44" s="1">
        <v>43.0</v>
      </c>
      <c r="B44" s="3" t="s">
        <v>151</v>
      </c>
      <c r="C44" s="3" t="s">
        <v>65</v>
      </c>
      <c r="D44" s="4" t="s">
        <v>152</v>
      </c>
      <c r="E44" s="3" t="s">
        <v>153</v>
      </c>
      <c r="F44" s="5">
        <f>IFERROR(__xludf.DUMMYFUNCTION("ARRAYFORMULA(sum(split(D44,""°."""")N"")/{1,60,3600}))"),12.892222222222221)</f>
        <v>12.89222222</v>
      </c>
      <c r="G44" s="5">
        <f>IFERROR(__xludf.DUMMYFUNCTION("ARRAYFORMULA(sum(split(E44,""°."""")E"")/{1,60,3600}))"),101.14055555555555)</f>
        <v>101.1405556</v>
      </c>
      <c r="H44" s="4"/>
      <c r="I44" s="3">
        <v>1.0</v>
      </c>
    </row>
    <row r="45" ht="15.75" customHeight="1">
      <c r="A45" s="1">
        <v>44.0</v>
      </c>
      <c r="B45" s="3" t="s">
        <v>154</v>
      </c>
      <c r="C45" s="3" t="s">
        <v>155</v>
      </c>
      <c r="D45" s="4" t="s">
        <v>156</v>
      </c>
      <c r="E45" s="3" t="s">
        <v>157</v>
      </c>
      <c r="F45" s="5">
        <f>IFERROR(__xludf.DUMMYFUNCTION("ARRAYFORMULA(sum(split(D45,""°."""")N"")/{1,60,3600}))"),12.928055555555554)</f>
        <v>12.92805556</v>
      </c>
      <c r="G45" s="5">
        <f>IFERROR(__xludf.DUMMYFUNCTION("ARRAYFORMULA(sum(split(E45,""°."""")E"")/{1,60,3600}))"),101.32583333333332)</f>
        <v>101.3258333</v>
      </c>
      <c r="H45" s="4"/>
      <c r="I45" s="3">
        <v>1.0</v>
      </c>
    </row>
    <row r="46" ht="15.75" customHeight="1">
      <c r="A46" s="1">
        <v>45.0</v>
      </c>
      <c r="B46" s="3" t="s">
        <v>158</v>
      </c>
      <c r="C46" s="3" t="s">
        <v>65</v>
      </c>
      <c r="D46" s="4" t="s">
        <v>159</v>
      </c>
      <c r="E46" s="3" t="s">
        <v>160</v>
      </c>
      <c r="F46" s="5">
        <f>IFERROR(__xludf.DUMMYFUNCTION("ARRAYFORMULA(sum(split(D46,""°."""")N"")/{1,60,3600}))"),12.951388888888888)</f>
        <v>12.95138889</v>
      </c>
      <c r="G46" s="5">
        <f>IFERROR(__xludf.DUMMYFUNCTION("ARRAYFORMULA(sum(split(E46,""°."""")E"")/{1,60,3600}))"),101.30333333333333)</f>
        <v>101.3033333</v>
      </c>
      <c r="H46" s="4"/>
      <c r="I46" s="3">
        <v>1.0</v>
      </c>
    </row>
    <row r="47" ht="15.75" customHeight="1">
      <c r="A47" s="1">
        <v>46.0</v>
      </c>
      <c r="B47" s="3" t="s">
        <v>161</v>
      </c>
      <c r="C47" s="3" t="s">
        <v>155</v>
      </c>
      <c r="D47" s="4" t="s">
        <v>162</v>
      </c>
      <c r="E47" s="3" t="s">
        <v>163</v>
      </c>
      <c r="F47" s="5">
        <f>IFERROR(__xludf.DUMMYFUNCTION("ARRAYFORMULA(sum(split(D47,""°."""")N"")/{1,60,3600}))"),12.963333333333333)</f>
        <v>12.96333333</v>
      </c>
      <c r="G47" s="5">
        <f>IFERROR(__xludf.DUMMYFUNCTION("ARRAYFORMULA(sum(split(E47,""°."""")E"")/{1,60,3600}))"),101.10583333333332)</f>
        <v>101.1058333</v>
      </c>
      <c r="H47" s="4"/>
      <c r="I47" s="3">
        <v>1.0</v>
      </c>
    </row>
    <row r="48" ht="15.75" customHeight="1">
      <c r="A48" s="1">
        <v>47.0</v>
      </c>
      <c r="B48" s="3" t="s">
        <v>164</v>
      </c>
      <c r="C48" s="3" t="s">
        <v>165</v>
      </c>
      <c r="D48" s="4" t="s">
        <v>166</v>
      </c>
      <c r="E48" s="3" t="s">
        <v>167</v>
      </c>
      <c r="F48" s="5">
        <f>IFERROR(__xludf.DUMMYFUNCTION("ARRAYFORMULA(sum(split(D48,""°."""")N"")/{1,60,3600}))"),12.984444444444444)</f>
        <v>12.98444444</v>
      </c>
      <c r="G48" s="5">
        <f>IFERROR(__xludf.DUMMYFUNCTION("ARRAYFORMULA(sum(split(E48,""°."""")E"")/{1,60,3600}))"),101.32277777777777)</f>
        <v>101.3227778</v>
      </c>
      <c r="H48" s="4"/>
      <c r="I48" s="3">
        <v>1.0</v>
      </c>
    </row>
    <row r="49" ht="15.75" customHeight="1">
      <c r="A49" s="1">
        <v>48.0</v>
      </c>
      <c r="B49" s="3" t="s">
        <v>168</v>
      </c>
      <c r="C49" s="3" t="s">
        <v>169</v>
      </c>
      <c r="D49" s="4" t="s">
        <v>170</v>
      </c>
      <c r="E49" s="3" t="s">
        <v>171</v>
      </c>
      <c r="F49" s="5">
        <f>IFERROR(__xludf.DUMMYFUNCTION("ARRAYFORMULA(sum(split(D49,""°."""")N"")/{1,60,3600}))"),12.846944444444444)</f>
        <v>12.84694444</v>
      </c>
      <c r="G49" s="5">
        <f>IFERROR(__xludf.DUMMYFUNCTION("ARRAYFORMULA(sum(split(E49,""°."""")E"")/{1,60,3600}))"),101.23111111111112)</f>
        <v>101.2311111</v>
      </c>
      <c r="H49" s="4"/>
      <c r="I49" s="3">
        <v>1.0</v>
      </c>
    </row>
    <row r="50" ht="15.75" customHeight="1">
      <c r="A50" s="1">
        <v>49.0</v>
      </c>
      <c r="B50" s="3" t="s">
        <v>172</v>
      </c>
      <c r="C50" s="3" t="s">
        <v>173</v>
      </c>
      <c r="D50" s="4" t="s">
        <v>174</v>
      </c>
      <c r="E50" s="3" t="s">
        <v>175</v>
      </c>
      <c r="F50" s="5">
        <f>IFERROR(__xludf.DUMMYFUNCTION("ARRAYFORMULA(sum(split(D50,""°."""")N"")/{1,60,3600}))"),12.806944444444445)</f>
        <v>12.80694444</v>
      </c>
      <c r="G50" s="5">
        <f>IFERROR(__xludf.DUMMYFUNCTION("ARRAYFORMULA(sum(split(E50,""°."""")E"")/{1,60,3600}))"),101.21916666666667)</f>
        <v>101.2191667</v>
      </c>
      <c r="H50" s="4"/>
      <c r="I50" s="3">
        <v>1.0</v>
      </c>
    </row>
    <row r="51" ht="15.75" customHeight="1">
      <c r="A51" s="1">
        <v>50.0</v>
      </c>
      <c r="B51" s="3" t="s">
        <v>176</v>
      </c>
      <c r="C51" s="3" t="s">
        <v>43</v>
      </c>
      <c r="D51" s="4" t="s">
        <v>177</v>
      </c>
      <c r="E51" s="3" t="s">
        <v>178</v>
      </c>
      <c r="F51" s="5">
        <f>IFERROR(__xludf.DUMMYFUNCTION("ARRAYFORMULA(sum(split(D51,""°."""")N"")/{1,60,3600}))"),12.991944444444444)</f>
        <v>12.99194444</v>
      </c>
      <c r="G51" s="5">
        <f>IFERROR(__xludf.DUMMYFUNCTION("ARRAYFORMULA(sum(split(E51,""°."""")E"")/{1,60,3600}))"),101.18138888888889)</f>
        <v>101.1813889</v>
      </c>
      <c r="H51" s="4"/>
      <c r="I51" s="3">
        <v>1.0</v>
      </c>
    </row>
    <row r="52" ht="15.75" customHeight="1">
      <c r="A52" s="1">
        <v>51.0</v>
      </c>
      <c r="B52" s="3" t="s">
        <v>179</v>
      </c>
      <c r="C52" s="3" t="s">
        <v>69</v>
      </c>
      <c r="D52" s="4" t="s">
        <v>111</v>
      </c>
      <c r="E52" s="3" t="s">
        <v>112</v>
      </c>
      <c r="F52" s="5">
        <f>IFERROR(__xludf.DUMMYFUNCTION("ARRAYFORMULA(sum(split(D52,""°."""")N"")/{1,60,3600}))"),12.913333333333334)</f>
        <v>12.91333333</v>
      </c>
      <c r="G52" s="5">
        <f>IFERROR(__xludf.DUMMYFUNCTION("ARRAYFORMULA(sum(split(E52,""°."""")E"")/{1,60,3600}))"),101.29222222222224)</f>
        <v>101.2922222</v>
      </c>
      <c r="H52" s="4"/>
      <c r="I52" s="3">
        <v>1.0</v>
      </c>
    </row>
    <row r="53" ht="15.75" customHeight="1">
      <c r="A53" s="1">
        <v>52.0</v>
      </c>
      <c r="B53" s="3" t="s">
        <v>180</v>
      </c>
      <c r="C53" s="3" t="s">
        <v>39</v>
      </c>
      <c r="D53" s="4" t="s">
        <v>181</v>
      </c>
      <c r="E53" s="3" t="s">
        <v>182</v>
      </c>
      <c r="F53" s="5">
        <f>IFERROR(__xludf.DUMMYFUNCTION("ARRAYFORMULA(sum(split(D53,""°."""")N"")/{1,60,3600}))"),12.730833333333333)</f>
        <v>12.73083333</v>
      </c>
      <c r="G53" s="5">
        <f>IFERROR(__xludf.DUMMYFUNCTION("ARRAYFORMULA(sum(split(E53,""°."""")E"")/{1,60,3600}))"),101.34527777777778)</f>
        <v>101.3452778</v>
      </c>
      <c r="H53" s="4"/>
      <c r="I53" s="3">
        <v>1.0</v>
      </c>
    </row>
    <row r="54" ht="15.75" customHeight="1">
      <c r="A54" s="1">
        <v>53.0</v>
      </c>
      <c r="B54" s="3" t="s">
        <v>183</v>
      </c>
      <c r="C54" s="3" t="s">
        <v>47</v>
      </c>
      <c r="D54" s="4" t="s">
        <v>184</v>
      </c>
      <c r="E54" s="3" t="s">
        <v>185</v>
      </c>
      <c r="F54" s="5">
        <f>IFERROR(__xludf.DUMMYFUNCTION("ARRAYFORMULA(sum(split(D54,""°."""")N"")/{1,60,3600}))"),12.721666666666668)</f>
        <v>12.72166667</v>
      </c>
      <c r="G54" s="5">
        <f>IFERROR(__xludf.DUMMYFUNCTION("ARRAYFORMULA(sum(split(E54,""°."""")E"")/{1,60,3600}))"),101.35472222222222)</f>
        <v>101.3547222</v>
      </c>
      <c r="H54" s="4"/>
      <c r="I54" s="3">
        <v>1.0</v>
      </c>
    </row>
    <row r="55" ht="15.75" customHeight="1">
      <c r="A55" s="1">
        <v>54.0</v>
      </c>
      <c r="B55" s="3" t="s">
        <v>186</v>
      </c>
      <c r="C55" s="3" t="s">
        <v>73</v>
      </c>
      <c r="D55" s="4" t="s">
        <v>187</v>
      </c>
      <c r="E55" s="1" t="s">
        <v>188</v>
      </c>
      <c r="F55" s="5">
        <f>IFERROR(__xludf.DUMMYFUNCTION("ARRAYFORMULA(sum(split(D55,""°."""")N"")/{1,60,3600}))"),12.938333333333333)</f>
        <v>12.93833333</v>
      </c>
      <c r="G55" s="5">
        <f>IFERROR(__xludf.DUMMYFUNCTION("ARRAYFORMULA(sum(split(E55,""°."""")E"")/{1,60,3600}))"),101.17500000000001)</f>
        <v>101.175</v>
      </c>
      <c r="H55" s="4"/>
      <c r="I55" s="3">
        <v>1.0</v>
      </c>
    </row>
    <row r="56" ht="15.75" customHeight="1">
      <c r="A56" s="1">
        <v>55.0</v>
      </c>
      <c r="B56" s="3" t="s">
        <v>189</v>
      </c>
      <c r="C56" s="3" t="s">
        <v>47</v>
      </c>
      <c r="D56" s="4" t="s">
        <v>190</v>
      </c>
      <c r="E56" s="1" t="s">
        <v>191</v>
      </c>
      <c r="F56" s="5">
        <f>IFERROR(__xludf.DUMMYFUNCTION("ARRAYFORMULA(sum(split(D56,""°."""")N"")/{1,60,3600}))"),12.927222222222222)</f>
        <v>12.92722222</v>
      </c>
      <c r="G56" s="5">
        <f>IFERROR(__xludf.DUMMYFUNCTION("ARRAYFORMULA(sum(split(E56,""°."""")E"")/{1,60,3600}))"),101.1875)</f>
        <v>101.1875</v>
      </c>
      <c r="H56" s="4"/>
      <c r="I56" s="3">
        <v>1.0</v>
      </c>
    </row>
    <row r="57" ht="15.75" customHeight="1">
      <c r="A57" s="1">
        <v>56.0</v>
      </c>
      <c r="B57" s="3" t="s">
        <v>192</v>
      </c>
      <c r="C57" s="3" t="s">
        <v>73</v>
      </c>
      <c r="D57" s="4" t="s">
        <v>193</v>
      </c>
      <c r="E57" s="1" t="s">
        <v>194</v>
      </c>
      <c r="F57" s="5">
        <f>IFERROR(__xludf.DUMMYFUNCTION("ARRAYFORMULA(sum(split(D57,""°."""")N"")/{1,60,3600}))"),12.76361111111111)</f>
        <v>12.76361111</v>
      </c>
      <c r="G57" s="5">
        <f>IFERROR(__xludf.DUMMYFUNCTION("ARRAYFORMULA(sum(split(E57,""°."""")E"")/{1,60,3600}))"),101.19333333333334)</f>
        <v>101.1933333</v>
      </c>
      <c r="H57" s="4"/>
      <c r="I57" s="3">
        <v>1.0</v>
      </c>
    </row>
    <row r="58" ht="15.75" customHeight="1">
      <c r="A58" s="1">
        <v>57.0</v>
      </c>
      <c r="B58" s="3" t="s">
        <v>195</v>
      </c>
      <c r="C58" s="3" t="s">
        <v>28</v>
      </c>
      <c r="D58" s="4" t="s">
        <v>196</v>
      </c>
      <c r="E58" s="1" t="s">
        <v>197</v>
      </c>
      <c r="F58" s="5">
        <f>IFERROR(__xludf.DUMMYFUNCTION("ARRAYFORMULA(sum(split(D58,""°."""")N"")/{1,60,3600}))"),12.784722222222223)</f>
        <v>12.78472222</v>
      </c>
      <c r="G58" s="5">
        <f>IFERROR(__xludf.DUMMYFUNCTION("ARRAYFORMULA(sum(split(E58,""°."""")E"")/{1,60,3600}))"),101.19861111111112)</f>
        <v>101.1986111</v>
      </c>
      <c r="H58" s="4"/>
      <c r="I58" s="3">
        <v>1.0</v>
      </c>
    </row>
    <row r="59" ht="15.75" customHeight="1">
      <c r="A59" s="1">
        <v>58.0</v>
      </c>
      <c r="B59" s="3" t="s">
        <v>198</v>
      </c>
      <c r="C59" s="3" t="s">
        <v>28</v>
      </c>
      <c r="D59" s="4" t="s">
        <v>199</v>
      </c>
      <c r="E59" s="1" t="s">
        <v>200</v>
      </c>
      <c r="F59" s="5">
        <f>IFERROR(__xludf.DUMMYFUNCTION("ARRAYFORMULA(sum(split(D59,""°."""")N"")/{1,60,3600}))"),12.803611111111111)</f>
        <v>12.80361111</v>
      </c>
      <c r="G59" s="5">
        <f>IFERROR(__xludf.DUMMYFUNCTION("ARRAYFORMULA(sum(split(E59,""°."""")E"")/{1,60,3600}))"),101.20472222222223)</f>
        <v>101.2047222</v>
      </c>
      <c r="H59" s="4"/>
      <c r="I59" s="3">
        <v>1.0</v>
      </c>
    </row>
    <row r="60" ht="15.75" customHeight="1">
      <c r="A60" s="1">
        <v>59.0</v>
      </c>
      <c r="B60" s="3" t="s">
        <v>201</v>
      </c>
      <c r="C60" s="3" t="s">
        <v>28</v>
      </c>
      <c r="D60" s="4" t="s">
        <v>202</v>
      </c>
      <c r="E60" s="1" t="s">
        <v>203</v>
      </c>
      <c r="F60" s="5">
        <f>IFERROR(__xludf.DUMMYFUNCTION("ARRAYFORMULA(sum(split(D60,""°."""")N"")/{1,60,3600}))"),12.8325)</f>
        <v>12.8325</v>
      </c>
      <c r="G60" s="5">
        <f>IFERROR(__xludf.DUMMYFUNCTION("ARRAYFORMULA(sum(split(E60,""°."""")E"")/{1,60,3600}))"),101.21222222222222)</f>
        <v>101.2122222</v>
      </c>
      <c r="H60" s="4"/>
      <c r="I60" s="3">
        <v>1.0</v>
      </c>
    </row>
    <row r="61" ht="15.75" customHeight="1">
      <c r="A61" s="1">
        <v>60.0</v>
      </c>
      <c r="B61" s="3" t="s">
        <v>204</v>
      </c>
      <c r="C61" s="3" t="s">
        <v>28</v>
      </c>
      <c r="D61" s="4" t="s">
        <v>205</v>
      </c>
      <c r="E61" s="1" t="s">
        <v>206</v>
      </c>
      <c r="F61" s="5">
        <f>IFERROR(__xludf.DUMMYFUNCTION("ARRAYFORMULA(sum(split(D61,""°."""")N"")/{1,60,3600}))"),12.843333333333334)</f>
        <v>12.84333333</v>
      </c>
      <c r="G61" s="5">
        <f>IFERROR(__xludf.DUMMYFUNCTION("ARRAYFORMULA(sum(split(E61,""°."""")E"")/{1,60,3600}))"),101.21861111111112)</f>
        <v>101.2186111</v>
      </c>
      <c r="H61" s="4"/>
      <c r="I61" s="3">
        <v>1.0</v>
      </c>
    </row>
    <row r="62" ht="15.75" customHeight="1">
      <c r="A62" s="1">
        <v>61.0</v>
      </c>
      <c r="B62" s="3" t="s">
        <v>207</v>
      </c>
      <c r="C62" s="3" t="s">
        <v>28</v>
      </c>
      <c r="D62" s="4" t="s">
        <v>208</v>
      </c>
      <c r="E62" s="2" t="s">
        <v>209</v>
      </c>
      <c r="F62" s="5">
        <f>IFERROR(__xludf.DUMMYFUNCTION("ARRAYFORMULA(sum(split(D62,""°."""")N"")/{1,60,3600}))"),12.911666666666667)</f>
        <v>12.91166667</v>
      </c>
      <c r="G62" s="5">
        <f>IFERROR(__xludf.DUMMYFUNCTION("ARRAYFORMULA(sum(split(E62,""°."""")E"")/{1,60,3600}))"),101.17277777777778)</f>
        <v>101.1727778</v>
      </c>
      <c r="H62" s="4"/>
      <c r="I62" s="3">
        <v>1.0</v>
      </c>
    </row>
    <row r="63" ht="15.75" customHeight="1">
      <c r="A63" s="1">
        <v>62.0</v>
      </c>
      <c r="B63" s="3" t="s">
        <v>210</v>
      </c>
      <c r="C63" s="3" t="s">
        <v>211</v>
      </c>
      <c r="D63" s="4" t="s">
        <v>212</v>
      </c>
      <c r="E63" s="3" t="s">
        <v>213</v>
      </c>
      <c r="F63" s="5">
        <f>IFERROR(__xludf.DUMMYFUNCTION("ARRAYFORMULA(sum(split(D63,""°."""")N"")/{1,60,3600}))"),12.947222222222223)</f>
        <v>12.94722222</v>
      </c>
      <c r="G63" s="5">
        <f>IFERROR(__xludf.DUMMYFUNCTION("ARRAYFORMULA(sum(split(E63,""°."""")E"")/{1,60,3600}))"),101.34472222222223)</f>
        <v>101.3447222</v>
      </c>
      <c r="H63" s="4"/>
      <c r="I63" s="3">
        <v>1.0</v>
      </c>
    </row>
    <row r="64" ht="15.75" customHeight="1">
      <c r="A64" s="1">
        <v>63.0</v>
      </c>
      <c r="B64" s="3" t="s">
        <v>214</v>
      </c>
      <c r="C64" s="3" t="s">
        <v>211</v>
      </c>
      <c r="D64" s="4" t="s">
        <v>215</v>
      </c>
      <c r="E64" s="3" t="s">
        <v>216</v>
      </c>
      <c r="F64" s="5">
        <f>IFERROR(__xludf.DUMMYFUNCTION("ARRAYFORMULA(sum(split(D64,""°."""")N"")/{1,60,3600}))"),12.733333333333333)</f>
        <v>12.73333333</v>
      </c>
      <c r="G64" s="5">
        <f>IFERROR(__xludf.DUMMYFUNCTION("ARRAYFORMULA(sum(split(E64,""°."""")E"")/{1,60,3600}))"),101.29055555555556)</f>
        <v>101.2905556</v>
      </c>
      <c r="H64" s="4"/>
      <c r="I64" s="3">
        <v>1.0</v>
      </c>
    </row>
    <row r="65" ht="15.75" customHeight="1">
      <c r="A65" s="1">
        <v>64.0</v>
      </c>
      <c r="B65" s="3" t="s">
        <v>217</v>
      </c>
      <c r="C65" s="3" t="s">
        <v>211</v>
      </c>
      <c r="D65" s="4" t="s">
        <v>218</v>
      </c>
      <c r="E65" s="3" t="s">
        <v>219</v>
      </c>
      <c r="F65" s="5">
        <f>IFERROR(__xludf.DUMMYFUNCTION("ARRAYFORMULA(sum(split(D65,""°."""")N"")/{1,60,3600}))"),12.990833333333333)</f>
        <v>12.99083333</v>
      </c>
      <c r="G65" s="5">
        <f>IFERROR(__xludf.DUMMYFUNCTION("ARRAYFORMULA(sum(split(E65,""°."""")E"")/{1,60,3600}))"),101.29194444444445)</f>
        <v>101.2919444</v>
      </c>
      <c r="H65" s="4"/>
      <c r="I65" s="3">
        <v>1.0</v>
      </c>
    </row>
    <row r="66" ht="15.75" customHeight="1">
      <c r="A66" s="1">
        <v>65.0</v>
      </c>
      <c r="B66" s="3" t="s">
        <v>220</v>
      </c>
      <c r="C66" s="3" t="s">
        <v>28</v>
      </c>
      <c r="D66" s="4" t="s">
        <v>221</v>
      </c>
      <c r="E66" s="1" t="s">
        <v>222</v>
      </c>
      <c r="F66" s="5">
        <f>IFERROR(__xludf.DUMMYFUNCTION("ARRAYFORMULA(sum(split(D66,""°."""")N"")/{1,60,3600}))"),12.8575)</f>
        <v>12.8575</v>
      </c>
      <c r="G66" s="5">
        <f>IFERROR(__xludf.DUMMYFUNCTION("ARRAYFORMULA(sum(split(E66,""°."""")E"")/{1,60,3600}))"),101.22166666666668)</f>
        <v>101.2216667</v>
      </c>
      <c r="H66" s="4"/>
      <c r="I66" s="3">
        <v>1.0</v>
      </c>
    </row>
    <row r="67" ht="15.75" customHeight="1">
      <c r="A67" s="1">
        <v>66.0</v>
      </c>
      <c r="B67" s="3" t="s">
        <v>223</v>
      </c>
      <c r="C67" s="3" t="s">
        <v>32</v>
      </c>
      <c r="D67" s="4" t="s">
        <v>224</v>
      </c>
      <c r="E67" s="1" t="s">
        <v>225</v>
      </c>
      <c r="F67" s="5">
        <f>IFERROR(__xludf.DUMMYFUNCTION("ARRAYFORMULA(sum(split(D67,""°."""")N"")/{1,60,3600}))"),12.846111111111112)</f>
        <v>12.84611111</v>
      </c>
      <c r="G67" s="5">
        <f>IFERROR(__xludf.DUMMYFUNCTION("ARRAYFORMULA(sum(split(E67,""°."""")E"")/{1,60,3600}))"),101.29138888888889)</f>
        <v>101.2913889</v>
      </c>
      <c r="H67" s="4"/>
      <c r="I67" s="3">
        <v>1.0</v>
      </c>
    </row>
    <row r="68" ht="15.75" customHeight="1">
      <c r="A68" s="1">
        <v>67.0</v>
      </c>
      <c r="B68" s="3" t="s">
        <v>226</v>
      </c>
      <c r="C68" s="3" t="s">
        <v>227</v>
      </c>
      <c r="D68" s="4" t="s">
        <v>228</v>
      </c>
      <c r="E68" s="1" t="s">
        <v>229</v>
      </c>
      <c r="F68" s="5">
        <f>IFERROR(__xludf.DUMMYFUNCTION("ARRAYFORMULA(sum(split(D68,""°."""")N"")/{1,60,3600}))"),12.838888888888889)</f>
        <v>12.83888889</v>
      </c>
      <c r="G68" s="5">
        <f>IFERROR(__xludf.DUMMYFUNCTION("ARRAYFORMULA(sum(split(E68,""°."""")E"")/{1,60,3600}))"),101.28194444444445)</f>
        <v>101.2819444</v>
      </c>
      <c r="H68" s="4"/>
      <c r="I68" s="3">
        <v>1.0</v>
      </c>
    </row>
    <row r="69" ht="15.75" customHeight="1">
      <c r="A69" s="1">
        <v>68.0</v>
      </c>
      <c r="B69" s="3" t="s">
        <v>230</v>
      </c>
      <c r="C69" s="3" t="s">
        <v>227</v>
      </c>
      <c r="D69" s="4" t="s">
        <v>231</v>
      </c>
      <c r="E69" s="1" t="s">
        <v>232</v>
      </c>
      <c r="F69" s="5">
        <f>IFERROR(__xludf.DUMMYFUNCTION("ARRAYFORMULA(sum(split(D69,""°."""")N"")/{1,60,3600}))"),12.792777777777777)</f>
        <v>12.79277778</v>
      </c>
      <c r="G69" s="5">
        <f>IFERROR(__xludf.DUMMYFUNCTION("ARRAYFORMULA(sum(split(E69,""°."""")E"")/{1,60,3600}))"),101.26138888888889)</f>
        <v>101.2613889</v>
      </c>
      <c r="H69" s="4"/>
      <c r="I69" s="3">
        <v>1.0</v>
      </c>
    </row>
    <row r="70" ht="15.75" customHeight="1">
      <c r="A70" s="1">
        <v>69.0</v>
      </c>
      <c r="B70" s="3" t="s">
        <v>233</v>
      </c>
      <c r="C70" s="3" t="s">
        <v>227</v>
      </c>
      <c r="D70" s="4" t="s">
        <v>234</v>
      </c>
      <c r="E70" s="1" t="s">
        <v>235</v>
      </c>
      <c r="F70" s="5">
        <f>IFERROR(__xludf.DUMMYFUNCTION("ARRAYFORMULA(sum(split(D70,""°."""")N"")/{1,60,3600}))"),12.725555555555555)</f>
        <v>12.72555556</v>
      </c>
      <c r="G70" s="5">
        <f>IFERROR(__xludf.DUMMYFUNCTION("ARRAYFORMULA(sum(split(E70,""°."""")E"")/{1,60,3600}))"),101.31083333333333)</f>
        <v>101.3108333</v>
      </c>
      <c r="H70" s="4"/>
      <c r="I70" s="3">
        <v>1.0</v>
      </c>
    </row>
    <row r="71" ht="15.75" customHeight="1">
      <c r="A71" s="1">
        <v>70.0</v>
      </c>
      <c r="B71" s="3" t="s">
        <v>236</v>
      </c>
      <c r="C71" s="3" t="s">
        <v>237</v>
      </c>
      <c r="D71" s="4" t="s">
        <v>238</v>
      </c>
      <c r="E71" s="1" t="s">
        <v>239</v>
      </c>
      <c r="F71" s="5">
        <f>IFERROR(__xludf.DUMMYFUNCTION("ARRAYFORMULA(sum(split(D71,""°."""")N"")/{1,60,3600}))"),12.77361111111111)</f>
        <v>12.77361111</v>
      </c>
      <c r="G71" s="5">
        <f>IFERROR(__xludf.DUMMYFUNCTION("ARRAYFORMULA(sum(split(E71,""°."""")E"")/{1,60,3600}))"),101.19166666666668)</f>
        <v>101.1916667</v>
      </c>
      <c r="H71" s="4"/>
      <c r="I71" s="3">
        <v>1.0</v>
      </c>
    </row>
    <row r="72" ht="15.75" customHeight="1">
      <c r="A72" s="1">
        <v>71.0</v>
      </c>
      <c r="B72" s="3" t="s">
        <v>240</v>
      </c>
      <c r="C72" s="3" t="s">
        <v>237</v>
      </c>
      <c r="D72" s="4" t="s">
        <v>241</v>
      </c>
      <c r="E72" s="1" t="s">
        <v>242</v>
      </c>
      <c r="F72" s="5">
        <f>IFERROR(__xludf.DUMMYFUNCTION("ARRAYFORMULA(sum(split(D72,""°."""")N"")/{1,60,3600}))"),12.75861111111111)</f>
        <v>12.75861111</v>
      </c>
      <c r="G72" s="5">
        <f>IFERROR(__xludf.DUMMYFUNCTION("ARRAYFORMULA(sum(split(E72,""°."""")E"")/{1,60,3600}))"),101.21722222222223)</f>
        <v>101.2172222</v>
      </c>
      <c r="H72" s="4"/>
      <c r="I72" s="3">
        <v>1.0</v>
      </c>
    </row>
    <row r="73" ht="15.75" customHeight="1">
      <c r="A73" s="1">
        <v>72.0</v>
      </c>
      <c r="B73" s="3" t="s">
        <v>243</v>
      </c>
      <c r="C73" s="3" t="s">
        <v>88</v>
      </c>
      <c r="D73" s="4" t="s">
        <v>244</v>
      </c>
      <c r="E73" s="1" t="s">
        <v>245</v>
      </c>
      <c r="F73" s="5">
        <f>IFERROR(__xludf.DUMMYFUNCTION("ARRAYFORMULA(sum(split(D73,""°."""")N"")/{1,60,3600}))"),12.901666666666667)</f>
        <v>12.90166667</v>
      </c>
      <c r="G73" s="5">
        <f>IFERROR(__xludf.DUMMYFUNCTION("ARRAYFORMULA(sum(split(E73,""°."""")E"")/{1,60,3600}))"),101.43555555555555)</f>
        <v>101.4355556</v>
      </c>
      <c r="H73" s="4"/>
      <c r="I73" s="3">
        <v>1.0</v>
      </c>
    </row>
    <row r="74" ht="15.75" customHeight="1">
      <c r="A74" s="1">
        <v>73.0</v>
      </c>
      <c r="B74" s="3" t="s">
        <v>246</v>
      </c>
      <c r="C74" s="3" t="s">
        <v>247</v>
      </c>
      <c r="D74" s="4" t="s">
        <v>248</v>
      </c>
      <c r="E74" s="1" t="s">
        <v>249</v>
      </c>
      <c r="F74" s="5">
        <f>IFERROR(__xludf.DUMMYFUNCTION("ARRAYFORMULA(sum(split(D74,""°."""")N"")/{1,60,3600}))"),12.702777777777778)</f>
        <v>12.70277778</v>
      </c>
      <c r="G74" s="5">
        <f>IFERROR(__xludf.DUMMYFUNCTION("ARRAYFORMULA(sum(split(E74,""°."""")E"")/{1,60,3600}))"),101.45527777777778)</f>
        <v>101.4552778</v>
      </c>
      <c r="H74" s="4"/>
      <c r="I74" s="3">
        <v>1.0</v>
      </c>
    </row>
    <row r="75" ht="15.75" customHeight="1">
      <c r="A75" s="1">
        <v>74.0</v>
      </c>
      <c r="B75" s="3" t="s">
        <v>250</v>
      </c>
      <c r="C75" s="3" t="s">
        <v>77</v>
      </c>
      <c r="D75" s="4" t="s">
        <v>251</v>
      </c>
      <c r="E75" s="1" t="s">
        <v>252</v>
      </c>
      <c r="F75" s="5">
        <f>IFERROR(__xludf.DUMMYFUNCTION("ARRAYFORMULA(sum(split(D75,""°."""")N"")/{1,60,3600}))"),12.85138888888889)</f>
        <v>12.85138889</v>
      </c>
      <c r="G75" s="5">
        <f>IFERROR(__xludf.DUMMYFUNCTION("ARRAYFORMULA(sum(split(E75,""°."""")E"")/{1,60,3600}))"),101.265)</f>
        <v>101.265</v>
      </c>
      <c r="H75" s="4"/>
      <c r="I75" s="3">
        <v>1.0</v>
      </c>
    </row>
    <row r="76" ht="15.75" customHeight="1">
      <c r="A76" s="1">
        <v>75.0</v>
      </c>
      <c r="B76" s="3" t="s">
        <v>253</v>
      </c>
      <c r="C76" s="3" t="s">
        <v>92</v>
      </c>
      <c r="D76" s="4" t="s">
        <v>254</v>
      </c>
      <c r="E76" s="3" t="s">
        <v>255</v>
      </c>
      <c r="F76" s="5">
        <f>IFERROR(__xludf.DUMMYFUNCTION("ARRAYFORMULA(sum(split(D76,""°."""")N"")/{1,60,3600}))"),12.841944444444445)</f>
        <v>12.84194444</v>
      </c>
      <c r="G76" s="5">
        <f>IFERROR(__xludf.DUMMYFUNCTION("ARRAYFORMULA(sum(split(E76,""°."""")E"")/{1,60,3600}))"),101.40527777777778)</f>
        <v>101.4052778</v>
      </c>
      <c r="H76" s="4"/>
      <c r="I76" s="3">
        <v>1.0</v>
      </c>
    </row>
    <row r="77" ht="15.75" customHeight="1">
      <c r="A77" s="1">
        <v>76.0</v>
      </c>
      <c r="B77" s="3" t="s">
        <v>256</v>
      </c>
      <c r="C77" s="3" t="s">
        <v>92</v>
      </c>
      <c r="D77" s="4" t="s">
        <v>257</v>
      </c>
      <c r="E77" s="1" t="s">
        <v>258</v>
      </c>
      <c r="F77" s="5">
        <f>IFERROR(__xludf.DUMMYFUNCTION("ARRAYFORMULA(sum(split(D77,""°."""")N"")/{1,60,3600}))"),12.853055555555555)</f>
        <v>12.85305556</v>
      </c>
      <c r="G77" s="5">
        <f>IFERROR(__xludf.DUMMYFUNCTION("ARRAYFORMULA(sum(split(E77,""°."""")E"")/{1,60,3600}))"),101.22)</f>
        <v>101.22</v>
      </c>
      <c r="H77" s="4"/>
      <c r="I77" s="3">
        <v>1.0</v>
      </c>
    </row>
    <row r="78" ht="15.75" customHeight="1">
      <c r="A78" s="1">
        <v>77.0</v>
      </c>
      <c r="B78" s="3" t="s">
        <v>259</v>
      </c>
      <c r="C78" s="3" t="s">
        <v>84</v>
      </c>
      <c r="D78" s="4" t="s">
        <v>260</v>
      </c>
      <c r="E78" s="1" t="s">
        <v>261</v>
      </c>
      <c r="F78" s="5">
        <f>IFERROR(__xludf.DUMMYFUNCTION("ARRAYFORMULA(sum(split(D78,""°."""")N"")/{1,60,3600}))"),12.690833333333334)</f>
        <v>12.69083333</v>
      </c>
      <c r="G78" s="5">
        <f>IFERROR(__xludf.DUMMYFUNCTION("ARRAYFORMULA(sum(split(E78,""°."""")E"")/{1,60,3600}))"),101.23416666666667)</f>
        <v>101.2341667</v>
      </c>
      <c r="H78" s="4"/>
      <c r="I78" s="3">
        <v>1.0</v>
      </c>
    </row>
    <row r="79" ht="15.75" customHeight="1">
      <c r="A79" s="1">
        <v>78.0</v>
      </c>
      <c r="B79" s="3" t="s">
        <v>262</v>
      </c>
      <c r="C79" s="3" t="s">
        <v>263</v>
      </c>
      <c r="D79" s="4" t="s">
        <v>264</v>
      </c>
      <c r="E79" s="1" t="s">
        <v>265</v>
      </c>
      <c r="F79" s="5">
        <f>IFERROR(__xludf.DUMMYFUNCTION("ARRAYFORMULA(sum(split(D79,""°."""")N"")/{1,60,3600}))"),12.806666666666667)</f>
        <v>12.80666667</v>
      </c>
      <c r="G79" s="5">
        <f>IFERROR(__xludf.DUMMYFUNCTION("ARRAYFORMULA(sum(split(E79,""°."""")E"")/{1,60,3600}))"),101.24777777777778)</f>
        <v>101.2477778</v>
      </c>
      <c r="H79" s="4"/>
      <c r="I79" s="3">
        <v>1.0</v>
      </c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